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770" windowHeight="12000" tabRatio="578" activeTab="0"/>
  </bookViews>
  <sheets>
    <sheet name="Варафино Фактория" sheetId="1" r:id="rId1"/>
    <sheet name="Лист1" sheetId="2" r:id="rId2"/>
  </sheets>
  <definedNames>
    <definedName name="Excel_BuiltIn_Print_Area_3">#REF!</definedName>
    <definedName name="_xlnm.Print_Area" localSheetId="0">'Варафино Фактория'!$A$1:$Z$44</definedName>
  </definedNames>
  <calcPr fullCalcOnLoad="1"/>
</workbook>
</file>

<file path=xl/sharedStrings.xml><?xml version="1.0" encoding="utf-8"?>
<sst xmlns="http://schemas.openxmlformats.org/spreadsheetml/2006/main" count="157" uniqueCount="71">
  <si>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</si>
  <si>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</si>
  <si>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</si>
  <si>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Перечень обязательных работ, услуг</t>
  </si>
  <si>
    <t>Периодичность</t>
  </si>
  <si>
    <t>%</t>
  </si>
  <si>
    <t>на 1 кв.м.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</si>
  <si>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</si>
  <si>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</si>
  <si>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</si>
  <si>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2. Подметание полов кабины лифта и влажная уборка</t>
  </si>
  <si>
    <t>3. Очистка и влажная уборка мусорных камер</t>
  </si>
  <si>
    <t>4. Мытье и протирка закрывающих устройств мусоропровода</t>
  </si>
  <si>
    <t>раз(а) в месяц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</si>
  <si>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</si>
  <si>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</si>
  <si>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</si>
  <si>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Уборка мусора на контейнерных площадках (помойных ям)</t>
  </si>
  <si>
    <t>8. Сдвижка и подметание снега при отсутствии снегопадов</t>
  </si>
  <si>
    <t>по мере необходимости. Начало работ не позднее _____ часов после начала снегопада</t>
  </si>
  <si>
    <t>III. Подготовка многоквартирного дома к сезонной эксплуатации</t>
  </si>
  <si>
    <t>раз(а) в год</t>
  </si>
  <si>
    <t>по мере необходимости в течение (указать период устранения неисправности)</t>
  </si>
  <si>
    <t>IV. Проведение технических осмотров и мелкий ремонт</t>
  </si>
  <si>
    <t>постоянно
на системах водоснабжения, теплоснабжения, газоснабжения, канализации, энергоснабжения</t>
  </si>
  <si>
    <t>Общая годовая стоимость работ по многоквартирным домам</t>
  </si>
  <si>
    <t>Площадь жилых помещений</t>
  </si>
  <si>
    <t>Стоимость работ (размер платы) в руб. по многоквартирным домам</t>
  </si>
  <si>
    <t>объектом конкурса</t>
  </si>
  <si>
    <t>9. Сдвижка и подметание снега при снегопаде, c подсыпкой противоскользящего материала</t>
  </si>
  <si>
    <t>11. Вывоз твердых бытовых отходов (ТБО), жидких бытовых отходов</t>
  </si>
  <si>
    <t>12. Очистка выгребных ям (для деревянных неблагоустроенных зданий)</t>
  </si>
  <si>
    <t>13. Укрепление водосточных труб, колен и воронок</t>
  </si>
  <si>
    <t>14. Расконсервирование и ремонт поливочной системы, консервация системы центрального отопления, ремонт просевшей отмостки</t>
  </si>
  <si>
    <t>15. Замена разбитых стекол окон и дверей в помещениях общего пользования</t>
  </si>
  <si>
    <t>16. Ремонт, регулировка, промывка, испытание, расконсервация систем центрального отопления, утепление бойлеров, утепление и прочистка дымовентиляционных каналов, консервация поливочных систем, проверка состояния и ремонт продухов в цоколях зданий, ремонт и утепление наружных водоразборных кранов и колонок,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</si>
  <si>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</si>
  <si>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</si>
  <si>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Дератизация, дезинсекция</t>
  </si>
  <si>
    <t>V. Техническое обслуживание внутридомового газового оборудования (ВДГО)</t>
  </si>
  <si>
    <t>месяцы</t>
  </si>
  <si>
    <t>деревянные  жилые дома благоустроенные без центрального отопления</t>
  </si>
  <si>
    <t>VI. Расходы по управлению МКД</t>
  </si>
  <si>
    <t>20. Проверка и обслуживание коллективных приборов учета электроэнергии</t>
  </si>
  <si>
    <t>21. Проверка и обслуживание коллективных приборов учета воды</t>
  </si>
  <si>
    <t>22. Проверка и обслуживание коллективных приборов учета тепловой энергии</t>
  </si>
  <si>
    <t xml:space="preserve">Стоимость на 1 кв. м. общей площади жилого помещения (руб./мес.)  (размер платы в месяц на 1 кв. м.) </t>
  </si>
  <si>
    <t>деревянные благоустроенные жилые дома с газоснабжением</t>
  </si>
  <si>
    <t>к Извещению о проведении</t>
  </si>
  <si>
    <t xml:space="preserve">открытого конкурса и </t>
  </si>
  <si>
    <t>конкурсной документации</t>
  </si>
  <si>
    <t>Приложение № 2</t>
  </si>
  <si>
    <t>3раз(а) в неделю</t>
  </si>
  <si>
    <t>по необходимости</t>
  </si>
  <si>
    <t>1раз(а) в год</t>
  </si>
  <si>
    <t>проверка исправности вытяжек _1_ раз(а) в год. Проверка наличия тяги в дымовентиляционных каналах _2_ раз(а) в год. Проверка заземления оболочки электрокабеля, замеры сопротивления ____ раз(а) в год.</t>
  </si>
  <si>
    <t>4раз(а) в год</t>
  </si>
  <si>
    <t>10.Сбрасывание снега с крыш, сбивание сосулек</t>
  </si>
  <si>
    <t>Лот №2</t>
  </si>
  <si>
    <t>КОНОНОВА И.Г.ул. 10</t>
  </si>
  <si>
    <t>ЛЕНИНГРАДСКИЙ ул. 332</t>
  </si>
  <si>
    <t>ЛЕНИНГРАДСКИЙ ул. 342</t>
  </si>
  <si>
    <t>КОНОНОВА И.Г.ул. 4</t>
  </si>
  <si>
    <t>деревянные благоустроенные жилые дома без газоснабжения</t>
  </si>
  <si>
    <t>ЛЕНИНГРАДСКИЙ ул. 340</t>
  </si>
  <si>
    <t>ЛЕНИНГРАДСКИЙ ул.346 к1</t>
  </si>
  <si>
    <t xml:space="preserve">Благоустроенные жилые дома </t>
  </si>
  <si>
    <t>РУСАНОВА ул. 24</t>
  </si>
  <si>
    <t>Жилой район  Территориальный округ Варавино-Фактория</t>
  </si>
  <si>
    <t>ЛЕНИНГРАДСКИЙ ул. 348</t>
  </si>
  <si>
    <t>КВАРТАЛЬНАЯ ул. 11к1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</si>
</sst>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4" fontId="4" fillId="0" borderId="10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6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left" vertical="top"/>
    </xf>
    <xf numFmtId="3" fontId="4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172" fontId="7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172" fontId="5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center" vertical="top"/>
    </xf>
    <xf numFmtId="4" fontId="6" fillId="33" borderId="10" xfId="0" applyNumberFormat="1" applyFont="1" applyFill="1" applyBorder="1" applyAlignment="1">
      <alignment horizontal="center" wrapText="1"/>
    </xf>
    <xf numFmtId="172" fontId="5" fillId="33" borderId="10" xfId="0" applyNumberFormat="1" applyFont="1" applyFill="1" applyBorder="1" applyAlignment="1">
      <alignment horizontal="center"/>
    </xf>
    <xf numFmtId="172" fontId="7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left" vertical="top"/>
    </xf>
    <xf numFmtId="3" fontId="4" fillId="33" borderId="10" xfId="0" applyNumberFormat="1" applyFont="1" applyFill="1" applyBorder="1" applyAlignment="1">
      <alignment horizontal="center" vertical="top"/>
    </xf>
    <xf numFmtId="4" fontId="5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left" vertical="top"/>
    </xf>
    <xf numFmtId="4" fontId="4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9" fontId="5" fillId="0" borderId="0" xfId="0" applyNumberFormat="1" applyFont="1" applyBorder="1" applyAlignment="1">
      <alignment horizontal="left" wrapText="1"/>
    </xf>
    <xf numFmtId="49" fontId="0" fillId="0" borderId="0" xfId="0" applyNumberFormat="1" applyAlignment="1">
      <alignment/>
    </xf>
    <xf numFmtId="4" fontId="2" fillId="33" borderId="0" xfId="0" applyNumberFormat="1" applyFont="1" applyFill="1" applyAlignment="1">
      <alignment/>
    </xf>
    <xf numFmtId="49" fontId="5" fillId="0" borderId="12" xfId="0" applyNumberFormat="1" applyFont="1" applyBorder="1" applyAlignment="1">
      <alignment horizontal="left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top"/>
    </xf>
    <xf numFmtId="172" fontId="7" fillId="33" borderId="15" xfId="0" applyNumberFormat="1" applyFont="1" applyFill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172" fontId="5" fillId="33" borderId="15" xfId="0" applyNumberFormat="1" applyFont="1" applyFill="1" applyBorder="1" applyAlignment="1">
      <alignment horizontal="center"/>
    </xf>
    <xf numFmtId="4" fontId="5" fillId="0" borderId="14" xfId="0" applyNumberFormat="1" applyFont="1" applyBorder="1" applyAlignment="1">
      <alignment horizontal="center" vertical="top"/>
    </xf>
    <xf numFmtId="4" fontId="5" fillId="0" borderId="14" xfId="0" applyNumberFormat="1" applyFont="1" applyBorder="1" applyAlignment="1">
      <alignment horizontal="center" vertical="top" wrapText="1"/>
    </xf>
    <xf numFmtId="172" fontId="5" fillId="33" borderId="15" xfId="0" applyNumberFormat="1" applyFont="1" applyFill="1" applyBorder="1" applyAlignment="1">
      <alignment horizontal="center"/>
    </xf>
    <xf numFmtId="172" fontId="7" fillId="33" borderId="15" xfId="0" applyNumberFormat="1" applyFont="1" applyFill="1" applyBorder="1" applyAlignment="1">
      <alignment horizontal="center"/>
    </xf>
    <xf numFmtId="4" fontId="4" fillId="0" borderId="14" xfId="0" applyNumberFormat="1" applyFont="1" applyBorder="1" applyAlignment="1">
      <alignment horizontal="left" vertical="top"/>
    </xf>
    <xf numFmtId="4" fontId="4" fillId="0" borderId="16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/>
    </xf>
    <xf numFmtId="4" fontId="7" fillId="0" borderId="17" xfId="0" applyNumberFormat="1" applyFont="1" applyFill="1" applyBorder="1" applyAlignment="1">
      <alignment horizontal="center" vertical="center"/>
    </xf>
    <xf numFmtId="4" fontId="4" fillId="33" borderId="17" xfId="0" applyNumberFormat="1" applyFont="1" applyFill="1" applyBorder="1" applyAlignment="1">
      <alignment horizontal="center" vertical="center"/>
    </xf>
    <xf numFmtId="4" fontId="4" fillId="33" borderId="18" xfId="0" applyNumberFormat="1" applyFont="1" applyFill="1" applyBorder="1" applyAlignment="1">
      <alignment horizontal="center" vertical="center"/>
    </xf>
    <xf numFmtId="4" fontId="2" fillId="33" borderId="14" xfId="0" applyNumberFormat="1" applyFont="1" applyFill="1" applyBorder="1" applyAlignment="1">
      <alignment horizontal="center" vertical="top"/>
    </xf>
    <xf numFmtId="4" fontId="5" fillId="33" borderId="14" xfId="0" applyNumberFormat="1" applyFont="1" applyFill="1" applyBorder="1" applyAlignment="1">
      <alignment horizontal="center"/>
    </xf>
    <xf numFmtId="4" fontId="5" fillId="33" borderId="14" xfId="0" applyNumberFormat="1" applyFont="1" applyFill="1" applyBorder="1" applyAlignment="1">
      <alignment horizontal="center" vertical="top"/>
    </xf>
    <xf numFmtId="4" fontId="4" fillId="33" borderId="15" xfId="0" applyNumberFormat="1" applyFont="1" applyFill="1" applyBorder="1" applyAlignment="1">
      <alignment horizontal="center"/>
    </xf>
    <xf numFmtId="4" fontId="5" fillId="33" borderId="14" xfId="0" applyNumberFormat="1" applyFont="1" applyFill="1" applyBorder="1" applyAlignment="1">
      <alignment horizontal="center" vertical="top" wrapText="1"/>
    </xf>
    <xf numFmtId="4" fontId="4" fillId="33" borderId="14" xfId="0" applyNumberFormat="1" applyFont="1" applyFill="1" applyBorder="1" applyAlignment="1">
      <alignment horizontal="left" vertical="top"/>
    </xf>
    <xf numFmtId="4" fontId="4" fillId="33" borderId="16" xfId="0" applyNumberFormat="1" applyFont="1" applyFill="1" applyBorder="1" applyAlignment="1">
      <alignment horizontal="center" vertical="center"/>
    </xf>
    <xf numFmtId="4" fontId="7" fillId="0" borderId="18" xfId="0" applyNumberFormat="1" applyFont="1" applyFill="1" applyBorder="1" applyAlignment="1">
      <alignment horizontal="center" vertical="center"/>
    </xf>
    <xf numFmtId="4" fontId="9" fillId="33" borderId="15" xfId="0" applyNumberFormat="1" applyFont="1" applyFill="1" applyBorder="1" applyAlignment="1">
      <alignment horizontal="center"/>
    </xf>
    <xf numFmtId="4" fontId="8" fillId="33" borderId="15" xfId="0" applyNumberFormat="1" applyFont="1" applyFill="1" applyBorder="1" applyAlignment="1">
      <alignment horizontal="center"/>
    </xf>
    <xf numFmtId="4" fontId="7" fillId="33" borderId="15" xfId="0" applyNumberFormat="1" applyFont="1" applyFill="1" applyBorder="1" applyAlignment="1">
      <alignment horizontal="center" vertical="top"/>
    </xf>
    <xf numFmtId="172" fontId="2" fillId="0" borderId="0" xfId="0" applyNumberFormat="1" applyFont="1" applyAlignment="1">
      <alignment/>
    </xf>
    <xf numFmtId="4" fontId="4" fillId="0" borderId="19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4" fontId="4" fillId="0" borderId="21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left" vertical="top" wrapText="1"/>
    </xf>
    <xf numFmtId="4" fontId="2" fillId="0" borderId="22" xfId="0" applyNumberFormat="1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center" vertical="top"/>
    </xf>
    <xf numFmtId="4" fontId="4" fillId="0" borderId="22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left" vertical="top"/>
    </xf>
    <xf numFmtId="4" fontId="2" fillId="0" borderId="22" xfId="0" applyNumberFormat="1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left" vertical="center" wrapText="1"/>
    </xf>
    <xf numFmtId="4" fontId="4" fillId="0" borderId="22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left" vertical="top"/>
    </xf>
    <xf numFmtId="4" fontId="4" fillId="0" borderId="22" xfId="0" applyNumberFormat="1" applyFont="1" applyBorder="1" applyAlignment="1">
      <alignment horizontal="left" vertical="top"/>
    </xf>
    <xf numFmtId="4" fontId="4" fillId="0" borderId="23" xfId="0" applyNumberFormat="1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center" vertical="top" wrapText="1"/>
    </xf>
    <xf numFmtId="4" fontId="4" fillId="0" borderId="22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4" fontId="3" fillId="0" borderId="24" xfId="0" applyNumberFormat="1" applyFont="1" applyBorder="1" applyAlignment="1">
      <alignment horizontal="center" vertical="center"/>
    </xf>
    <xf numFmtId="4" fontId="3" fillId="0" borderId="25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22" xfId="0" applyNumberFormat="1" applyFont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70"/>
  <sheetViews>
    <sheetView tabSelected="1" view="pageBreakPreview" zoomScaleSheetLayoutView="100" zoomScalePageLayoutView="0" workbookViewId="0" topLeftCell="A1">
      <pane xSplit="6" ySplit="9" topLeftCell="G28" activePane="bottomRight" state="frozen"/>
      <selection pane="topLeft" activeCell="A1" sqref="A1"/>
      <selection pane="topRight" activeCell="CV1" sqref="CV1"/>
      <selection pane="bottomLeft" activeCell="A29" sqref="A29"/>
      <selection pane="bottomRight" activeCell="AA39" sqref="AA39"/>
    </sheetView>
  </sheetViews>
  <sheetFormatPr defaultColWidth="9.00390625" defaultRowHeight="12.75"/>
  <cols>
    <col min="1" max="5" width="9.125" style="1" customWidth="1"/>
    <col min="6" max="6" width="15.25390625" style="1" customWidth="1"/>
    <col min="7" max="7" width="19.25390625" style="1" customWidth="1"/>
    <col min="8" max="8" width="6.625" style="1" hidden="1" customWidth="1"/>
    <col min="9" max="9" width="5.75390625" style="13" customWidth="1"/>
    <col min="10" max="14" width="9.25390625" style="13" customWidth="1"/>
    <col min="15" max="15" width="13.625" style="13" customWidth="1"/>
    <col min="16" max="16" width="9.25390625" style="13" hidden="1" customWidth="1"/>
    <col min="17" max="19" width="9.25390625" style="13" customWidth="1"/>
    <col min="20" max="20" width="21.00390625" style="13" customWidth="1"/>
    <col min="21" max="21" width="6.75390625" style="13" hidden="1" customWidth="1"/>
    <col min="22" max="22" width="5.75390625" style="13" customWidth="1"/>
    <col min="23" max="23" width="8.75390625" style="13" customWidth="1"/>
    <col min="24" max="24" width="16.625" style="1" customWidth="1"/>
    <col min="25" max="25" width="9.125" style="1" customWidth="1"/>
    <col min="26" max="26" width="9.875" style="1" customWidth="1"/>
    <col min="27" max="74" width="9.125" style="1" customWidth="1"/>
  </cols>
  <sheetData>
    <row r="1" spans="1:23" ht="16.5" customHeight="1">
      <c r="A1" s="78" t="s">
        <v>0</v>
      </c>
      <c r="B1" s="78"/>
      <c r="C1" s="78"/>
      <c r="D1" s="78"/>
      <c r="E1" s="78"/>
      <c r="F1" s="78"/>
      <c r="G1" s="78"/>
      <c r="H1" s="78"/>
      <c r="I1" s="78"/>
      <c r="L1" t="s">
        <v>51</v>
      </c>
      <c r="M1"/>
      <c r="N1"/>
      <c r="O1"/>
      <c r="P1"/>
      <c r="Q1"/>
      <c r="R1"/>
      <c r="S1"/>
      <c r="T1"/>
      <c r="U1" s="32"/>
      <c r="V1"/>
      <c r="W1"/>
    </row>
    <row r="2" spans="1:23" ht="16.5" customHeight="1">
      <c r="A2" s="78" t="s">
        <v>1</v>
      </c>
      <c r="B2" s="78"/>
      <c r="C2" s="78"/>
      <c r="D2" s="78"/>
      <c r="E2" s="78"/>
      <c r="F2" s="78"/>
      <c r="G2" s="78"/>
      <c r="H2" s="78"/>
      <c r="I2" s="78"/>
      <c r="L2" t="s">
        <v>48</v>
      </c>
      <c r="M2"/>
      <c r="N2"/>
      <c r="O2"/>
      <c r="P2"/>
      <c r="Q2"/>
      <c r="R2"/>
      <c r="S2"/>
      <c r="T2"/>
      <c r="U2" s="32"/>
      <c r="V2"/>
      <c r="W2"/>
    </row>
    <row r="3" spans="1:23" ht="16.5" customHeight="1">
      <c r="A3" s="78" t="s">
        <v>2</v>
      </c>
      <c r="B3" s="78"/>
      <c r="C3" s="78"/>
      <c r="D3" s="78"/>
      <c r="E3" s="78"/>
      <c r="F3" s="78"/>
      <c r="G3" s="78"/>
      <c r="H3" s="78"/>
      <c r="I3" s="78"/>
      <c r="L3" t="s">
        <v>49</v>
      </c>
      <c r="M3"/>
      <c r="N3"/>
      <c r="O3"/>
      <c r="P3"/>
      <c r="Q3"/>
      <c r="R3"/>
      <c r="S3"/>
      <c r="T3"/>
      <c r="U3" s="32"/>
      <c r="V3"/>
      <c r="W3"/>
    </row>
    <row r="4" spans="1:23" ht="16.5" customHeight="1">
      <c r="A4" s="78" t="s">
        <v>28</v>
      </c>
      <c r="B4" s="78"/>
      <c r="C4" s="78"/>
      <c r="D4" s="78"/>
      <c r="E4" s="78"/>
      <c r="F4" s="78"/>
      <c r="G4" s="78"/>
      <c r="H4" s="78"/>
      <c r="I4" s="78"/>
      <c r="L4" t="s">
        <v>50</v>
      </c>
      <c r="M4"/>
      <c r="N4"/>
      <c r="O4"/>
      <c r="P4"/>
      <c r="Q4"/>
      <c r="R4"/>
      <c r="S4"/>
      <c r="T4"/>
      <c r="U4" s="32"/>
      <c r="V4"/>
      <c r="W4"/>
    </row>
    <row r="5" spans="1:23" ht="16.5" customHeight="1">
      <c r="A5" s="2"/>
      <c r="B5" s="2"/>
      <c r="C5" s="2"/>
      <c r="D5" s="2"/>
      <c r="E5" s="2"/>
      <c r="F5" s="2"/>
      <c r="G5" s="2"/>
      <c r="H5" s="2"/>
      <c r="I5" s="14"/>
      <c r="T5" s="14"/>
      <c r="U5" s="14"/>
      <c r="V5" s="14"/>
      <c r="W5" s="14"/>
    </row>
    <row r="6" spans="1:2" ht="12.75">
      <c r="A6" s="3" t="s">
        <v>58</v>
      </c>
      <c r="B6" s="3" t="s">
        <v>68</v>
      </c>
    </row>
    <row r="7" spans="1:23" ht="18" customHeight="1">
      <c r="A7" s="81" t="s">
        <v>3</v>
      </c>
      <c r="B7" s="81"/>
      <c r="C7" s="81"/>
      <c r="D7" s="81"/>
      <c r="E7" s="81"/>
      <c r="F7" s="81"/>
      <c r="G7" s="79" t="s">
        <v>27</v>
      </c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</row>
    <row r="8" spans="1:78" s="30" customFormat="1" ht="39" customHeight="1">
      <c r="A8" s="81"/>
      <c r="B8" s="81"/>
      <c r="C8" s="81"/>
      <c r="D8" s="81"/>
      <c r="E8" s="81"/>
      <c r="F8" s="82"/>
      <c r="G8" s="62" t="s">
        <v>47</v>
      </c>
      <c r="H8" s="63"/>
      <c r="I8" s="63"/>
      <c r="J8" s="63"/>
      <c r="K8" s="63"/>
      <c r="L8" s="63"/>
      <c r="M8" s="63"/>
      <c r="N8" s="64"/>
      <c r="O8" s="83" t="s">
        <v>63</v>
      </c>
      <c r="P8" s="83"/>
      <c r="Q8" s="83"/>
      <c r="R8" s="83"/>
      <c r="S8" s="83"/>
      <c r="T8" s="62" t="s">
        <v>41</v>
      </c>
      <c r="U8" s="63"/>
      <c r="V8" s="63"/>
      <c r="W8" s="64"/>
      <c r="X8" s="62" t="s">
        <v>66</v>
      </c>
      <c r="Y8" s="63"/>
      <c r="Z8" s="6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</row>
    <row r="9" spans="1:26" s="4" customFormat="1" ht="33.75">
      <c r="A9" s="81"/>
      <c r="B9" s="81"/>
      <c r="C9" s="81"/>
      <c r="D9" s="81"/>
      <c r="E9" s="81"/>
      <c r="F9" s="82"/>
      <c r="G9" s="35" t="s">
        <v>4</v>
      </c>
      <c r="H9" s="25" t="s">
        <v>5</v>
      </c>
      <c r="I9" s="25" t="s">
        <v>6</v>
      </c>
      <c r="J9" s="34" t="s">
        <v>70</v>
      </c>
      <c r="K9" s="34" t="s">
        <v>59</v>
      </c>
      <c r="L9" s="34" t="s">
        <v>60</v>
      </c>
      <c r="M9" s="34" t="s">
        <v>61</v>
      </c>
      <c r="N9" s="34" t="s">
        <v>69</v>
      </c>
      <c r="O9" s="35" t="s">
        <v>4</v>
      </c>
      <c r="P9" s="25" t="s">
        <v>5</v>
      </c>
      <c r="Q9" s="25" t="s">
        <v>6</v>
      </c>
      <c r="R9" s="34" t="s">
        <v>64</v>
      </c>
      <c r="S9" s="34" t="s">
        <v>65</v>
      </c>
      <c r="T9" s="35" t="s">
        <v>4</v>
      </c>
      <c r="U9" s="25" t="s">
        <v>5</v>
      </c>
      <c r="V9" s="25" t="s">
        <v>6</v>
      </c>
      <c r="W9" s="34" t="s">
        <v>62</v>
      </c>
      <c r="X9" s="35" t="s">
        <v>4</v>
      </c>
      <c r="Y9" s="25" t="s">
        <v>6</v>
      </c>
      <c r="Z9" s="34" t="s">
        <v>67</v>
      </c>
    </row>
    <row r="10" spans="1:78" ht="12.75">
      <c r="A10" s="67" t="s">
        <v>7</v>
      </c>
      <c r="B10" s="67"/>
      <c r="C10" s="67"/>
      <c r="D10" s="67"/>
      <c r="E10" s="67"/>
      <c r="F10" s="68"/>
      <c r="G10" s="36"/>
      <c r="H10" s="6">
        <f aca="true" t="shared" si="0" ref="H10:N10">SUM(H11:H14)</f>
        <v>0</v>
      </c>
      <c r="I10" s="26">
        <f t="shared" si="0"/>
        <v>0</v>
      </c>
      <c r="J10" s="16">
        <f t="shared" si="0"/>
        <v>0</v>
      </c>
      <c r="K10" s="16">
        <f t="shared" si="0"/>
        <v>0</v>
      </c>
      <c r="L10" s="16">
        <f t="shared" si="0"/>
        <v>0</v>
      </c>
      <c r="M10" s="37">
        <f>SUM(M11:M14)</f>
        <v>0</v>
      </c>
      <c r="N10" s="37">
        <f t="shared" si="0"/>
        <v>0</v>
      </c>
      <c r="O10" s="36"/>
      <c r="P10" s="6">
        <f>SUM(P11:P14)</f>
        <v>0</v>
      </c>
      <c r="Q10" s="26">
        <f>SUM(Q11:Q14)</f>
        <v>0</v>
      </c>
      <c r="R10" s="16">
        <f>SUM(R11:R14)</f>
        <v>0</v>
      </c>
      <c r="S10" s="37">
        <f>SUM(S11:S14)</f>
        <v>0</v>
      </c>
      <c r="T10" s="50"/>
      <c r="U10" s="15">
        <f>SUM(U11:U14)</f>
        <v>0</v>
      </c>
      <c r="V10" s="26">
        <f>SUM(V11:V14)</f>
        <v>0</v>
      </c>
      <c r="W10" s="58">
        <f>SUM(W11:W14)</f>
        <v>0</v>
      </c>
      <c r="X10" s="50"/>
      <c r="Y10" s="26">
        <f>SUM(Y11:Y14)</f>
        <v>0</v>
      </c>
      <c r="Z10" s="37">
        <f>SUM(Z11:Z14)</f>
        <v>0</v>
      </c>
      <c r="BW10" s="1"/>
      <c r="BX10" s="1"/>
      <c r="BY10" s="1"/>
      <c r="BZ10" s="1"/>
    </row>
    <row r="11" spans="1:78" ht="12.75">
      <c r="A11" s="69" t="s">
        <v>8</v>
      </c>
      <c r="B11" s="69"/>
      <c r="C11" s="69"/>
      <c r="D11" s="69"/>
      <c r="E11" s="69"/>
      <c r="F11" s="70"/>
      <c r="G11" s="38" t="s">
        <v>9</v>
      </c>
      <c r="H11" s="7">
        <v>0</v>
      </c>
      <c r="I11" s="8">
        <v>0</v>
      </c>
      <c r="J11" s="18">
        <f>$H$40*$H$11/100*12*J39</f>
        <v>0</v>
      </c>
      <c r="K11" s="18">
        <f>$H$40*$H$11/100*12*K39</f>
        <v>0</v>
      </c>
      <c r="L11" s="18">
        <f>$H$40*$H$11/100*12*L39</f>
        <v>0</v>
      </c>
      <c r="M11" s="39">
        <f>$H$40*$H$11/100*12*M39</f>
        <v>0</v>
      </c>
      <c r="N11" s="39">
        <f>$H$40*$H$11/100*12*N39</f>
        <v>0</v>
      </c>
      <c r="O11" s="38" t="s">
        <v>9</v>
      </c>
      <c r="P11" s="7">
        <v>0</v>
      </c>
      <c r="Q11" s="8">
        <v>0</v>
      </c>
      <c r="R11" s="18">
        <f>$H$40*$H$11/100*12*R39</f>
        <v>0</v>
      </c>
      <c r="S11" s="39">
        <f>$H$40*$H$11/100*12*S39</f>
        <v>0</v>
      </c>
      <c r="T11" s="51" t="s">
        <v>9</v>
      </c>
      <c r="U11" s="17">
        <v>0</v>
      </c>
      <c r="V11" s="8">
        <v>0</v>
      </c>
      <c r="W11" s="59">
        <f>$H$40*$H$11/100*12*W39</f>
        <v>0</v>
      </c>
      <c r="X11" s="51" t="s">
        <v>9</v>
      </c>
      <c r="Y11" s="8">
        <v>0</v>
      </c>
      <c r="Z11" s="39">
        <f>$H$40*$H$11/100*12*Z39</f>
        <v>0</v>
      </c>
      <c r="BW11" s="1"/>
      <c r="BX11" s="1"/>
      <c r="BY11" s="1"/>
      <c r="BZ11" s="1"/>
    </row>
    <row r="12" spans="1:78" ht="12.75">
      <c r="A12" s="69" t="s">
        <v>10</v>
      </c>
      <c r="B12" s="69"/>
      <c r="C12" s="69"/>
      <c r="D12" s="69"/>
      <c r="E12" s="69"/>
      <c r="F12" s="70"/>
      <c r="G12" s="38" t="s">
        <v>9</v>
      </c>
      <c r="H12" s="7">
        <v>0</v>
      </c>
      <c r="I12" s="8">
        <v>0</v>
      </c>
      <c r="J12" s="18">
        <v>0</v>
      </c>
      <c r="K12" s="18">
        <v>0</v>
      </c>
      <c r="L12" s="18">
        <v>0</v>
      </c>
      <c r="M12" s="39">
        <v>0</v>
      </c>
      <c r="N12" s="39">
        <v>0</v>
      </c>
      <c r="O12" s="38" t="s">
        <v>9</v>
      </c>
      <c r="P12" s="7">
        <v>0</v>
      </c>
      <c r="Q12" s="8">
        <v>0</v>
      </c>
      <c r="R12" s="18">
        <v>0</v>
      </c>
      <c r="S12" s="39">
        <v>0</v>
      </c>
      <c r="T12" s="51" t="s">
        <v>9</v>
      </c>
      <c r="U12" s="17">
        <v>0</v>
      </c>
      <c r="V12" s="8">
        <v>0</v>
      </c>
      <c r="W12" s="59">
        <v>0</v>
      </c>
      <c r="X12" s="51" t="s">
        <v>9</v>
      </c>
      <c r="Y12" s="8">
        <v>0</v>
      </c>
      <c r="Z12" s="39">
        <v>0</v>
      </c>
      <c r="BW12" s="1"/>
      <c r="BX12" s="1"/>
      <c r="BY12" s="1"/>
      <c r="BZ12" s="1"/>
    </row>
    <row r="13" spans="1:78" ht="12.75">
      <c r="A13" s="69" t="s">
        <v>11</v>
      </c>
      <c r="B13" s="69"/>
      <c r="C13" s="69"/>
      <c r="D13" s="69"/>
      <c r="E13" s="69"/>
      <c r="F13" s="70"/>
      <c r="G13" s="38" t="s">
        <v>9</v>
      </c>
      <c r="H13" s="7">
        <v>0</v>
      </c>
      <c r="I13" s="8">
        <v>0</v>
      </c>
      <c r="J13" s="18">
        <v>0</v>
      </c>
      <c r="K13" s="18">
        <v>0</v>
      </c>
      <c r="L13" s="18">
        <v>0</v>
      </c>
      <c r="M13" s="39">
        <v>0</v>
      </c>
      <c r="N13" s="39">
        <v>0</v>
      </c>
      <c r="O13" s="38" t="s">
        <v>9</v>
      </c>
      <c r="P13" s="7">
        <v>0</v>
      </c>
      <c r="Q13" s="8">
        <v>0</v>
      </c>
      <c r="R13" s="18">
        <v>0</v>
      </c>
      <c r="S13" s="39">
        <v>0</v>
      </c>
      <c r="T13" s="51" t="s">
        <v>9</v>
      </c>
      <c r="U13" s="17">
        <v>0</v>
      </c>
      <c r="V13" s="8">
        <v>0</v>
      </c>
      <c r="W13" s="59">
        <v>0</v>
      </c>
      <c r="X13" s="51" t="s">
        <v>9</v>
      </c>
      <c r="Y13" s="8">
        <v>0</v>
      </c>
      <c r="Z13" s="39">
        <v>0</v>
      </c>
      <c r="BW13" s="1"/>
      <c r="BX13" s="1"/>
      <c r="BY13" s="1"/>
      <c r="BZ13" s="1"/>
    </row>
    <row r="14" spans="1:78" ht="12.75">
      <c r="A14" s="69" t="s">
        <v>12</v>
      </c>
      <c r="B14" s="69"/>
      <c r="C14" s="69"/>
      <c r="D14" s="69"/>
      <c r="E14" s="69"/>
      <c r="F14" s="70"/>
      <c r="G14" s="38" t="s">
        <v>13</v>
      </c>
      <c r="H14" s="7">
        <v>0</v>
      </c>
      <c r="I14" s="8">
        <v>0</v>
      </c>
      <c r="J14" s="18">
        <v>0</v>
      </c>
      <c r="K14" s="18">
        <v>0</v>
      </c>
      <c r="L14" s="18">
        <v>0</v>
      </c>
      <c r="M14" s="39">
        <v>0</v>
      </c>
      <c r="N14" s="39">
        <v>0</v>
      </c>
      <c r="O14" s="38" t="s">
        <v>13</v>
      </c>
      <c r="P14" s="7">
        <v>0</v>
      </c>
      <c r="Q14" s="8">
        <v>0</v>
      </c>
      <c r="R14" s="18">
        <v>0</v>
      </c>
      <c r="S14" s="39">
        <v>0</v>
      </c>
      <c r="T14" s="51" t="s">
        <v>13</v>
      </c>
      <c r="U14" s="17">
        <v>0</v>
      </c>
      <c r="V14" s="8">
        <v>0</v>
      </c>
      <c r="W14" s="59">
        <v>0</v>
      </c>
      <c r="X14" s="51" t="s">
        <v>13</v>
      </c>
      <c r="Y14" s="8">
        <v>0</v>
      </c>
      <c r="Z14" s="39">
        <v>0</v>
      </c>
      <c r="BW14" s="1"/>
      <c r="BX14" s="1"/>
      <c r="BY14" s="1"/>
      <c r="BZ14" s="1"/>
    </row>
    <row r="15" spans="1:78" ht="23.25" customHeight="1">
      <c r="A15" s="76" t="s">
        <v>14</v>
      </c>
      <c r="B15" s="76"/>
      <c r="C15" s="76"/>
      <c r="D15" s="76"/>
      <c r="E15" s="76"/>
      <c r="F15" s="77"/>
      <c r="G15" s="40"/>
      <c r="H15" s="6">
        <f>SUM(H16:H21)</f>
        <v>51.41294050776808</v>
      </c>
      <c r="I15" s="26">
        <f aca="true" t="shared" si="1" ref="I15:N15">SUM(I16:I23)</f>
        <v>5.050000000000001</v>
      </c>
      <c r="J15" s="16">
        <f t="shared" si="1"/>
        <v>45062.16</v>
      </c>
      <c r="K15" s="16">
        <f t="shared" si="1"/>
        <v>51437.28</v>
      </c>
      <c r="L15" s="16">
        <f t="shared" si="1"/>
        <v>25967.100000000002</v>
      </c>
      <c r="M15" s="37">
        <f t="shared" si="1"/>
        <v>22603.800000000003</v>
      </c>
      <c r="N15" s="37">
        <f t="shared" si="1"/>
        <v>24918.72</v>
      </c>
      <c r="O15" s="40"/>
      <c r="P15" s="6">
        <f>SUM(P16:P21)</f>
        <v>51.41294050776808</v>
      </c>
      <c r="Q15" s="26">
        <f>SUM(Q16:Q23)</f>
        <v>5.050000000000001</v>
      </c>
      <c r="R15" s="16">
        <f>SUM(R16:R23)</f>
        <v>23434.02</v>
      </c>
      <c r="S15" s="37">
        <f>SUM(S16:S23)</f>
        <v>25233.84</v>
      </c>
      <c r="T15" s="52"/>
      <c r="U15" s="15">
        <f>SUM(U16:U21)</f>
        <v>51.41294050776808</v>
      </c>
      <c r="V15" s="26">
        <f>SUM(V16:V23)</f>
        <v>5.050000000000001</v>
      </c>
      <c r="W15" s="37">
        <f>SUM(W16:W23)</f>
        <v>31699.860000000004</v>
      </c>
      <c r="X15" s="52"/>
      <c r="Y15" s="26">
        <f>SUM(Y16:Y23)</f>
        <v>5.050000000000001</v>
      </c>
      <c r="Z15" s="53">
        <f>SUM(Z16:Z23)</f>
        <v>65157.12</v>
      </c>
      <c r="BW15" s="1"/>
      <c r="BX15" s="1"/>
      <c r="BY15" s="1"/>
      <c r="BZ15" s="1"/>
    </row>
    <row r="16" spans="1:78" ht="12.75">
      <c r="A16" s="69" t="s">
        <v>15</v>
      </c>
      <c r="B16" s="69"/>
      <c r="C16" s="69"/>
      <c r="D16" s="69"/>
      <c r="E16" s="69"/>
      <c r="F16" s="70"/>
      <c r="G16" s="38" t="s">
        <v>52</v>
      </c>
      <c r="H16" s="8">
        <v>0.7598226127320953</v>
      </c>
      <c r="I16" s="8">
        <f>0.19*B46</f>
        <v>0.19</v>
      </c>
      <c r="J16" s="18">
        <f>$I$16*J39*$B$45</f>
        <v>1695.408</v>
      </c>
      <c r="K16" s="18">
        <f>$I$16*K39*$B$45</f>
        <v>1935.264</v>
      </c>
      <c r="L16" s="18">
        <f>$I$16*L39*$B$45</f>
        <v>976.98</v>
      </c>
      <c r="M16" s="39">
        <f>$I$16*M39*$B$45</f>
        <v>850.44</v>
      </c>
      <c r="N16" s="39">
        <f>$I$16*N39*$B$45</f>
        <v>937.5360000000001</v>
      </c>
      <c r="O16" s="38" t="s">
        <v>52</v>
      </c>
      <c r="P16" s="8">
        <v>0.7598226127320953</v>
      </c>
      <c r="Q16" s="8">
        <v>0.19</v>
      </c>
      <c r="R16" s="18">
        <f>$I$16*R39*$B$45</f>
        <v>881.6759999999999</v>
      </c>
      <c r="S16" s="39">
        <f>$I$16*S39*$B$45</f>
        <v>949.392</v>
      </c>
      <c r="T16" s="38" t="s">
        <v>52</v>
      </c>
      <c r="U16" s="17">
        <v>0.7598226127320953</v>
      </c>
      <c r="V16" s="8">
        <f>0.19*B46</f>
        <v>0.19</v>
      </c>
      <c r="W16" s="39">
        <f>$V$16*W39*$B$45</f>
        <v>1192.6680000000001</v>
      </c>
      <c r="X16" s="38" t="s">
        <v>52</v>
      </c>
      <c r="Y16" s="8">
        <v>0.19</v>
      </c>
      <c r="Z16" s="39">
        <f>$Y$16*$B$45*Z39</f>
        <v>2451.4560000000006</v>
      </c>
      <c r="BW16" s="1"/>
      <c r="BX16" s="1"/>
      <c r="BY16" s="1"/>
      <c r="BZ16" s="1"/>
    </row>
    <row r="17" spans="1:78" ht="12.75">
      <c r="A17" s="69" t="s">
        <v>16</v>
      </c>
      <c r="B17" s="69"/>
      <c r="C17" s="69"/>
      <c r="D17" s="69"/>
      <c r="E17" s="69"/>
      <c r="F17" s="70"/>
      <c r="G17" s="38" t="s">
        <v>52</v>
      </c>
      <c r="H17" s="8">
        <v>6.63867871352785</v>
      </c>
      <c r="I17" s="8">
        <f>0.56*B46</f>
        <v>0.56</v>
      </c>
      <c r="J17" s="18">
        <f>$I$17*J39*$B$45</f>
        <v>4996.992</v>
      </c>
      <c r="K17" s="18">
        <f>$I$17*K39*$B$45</f>
        <v>5703.936000000001</v>
      </c>
      <c r="L17" s="18">
        <f>$I$17*L39*$B$45</f>
        <v>2879.5200000000004</v>
      </c>
      <c r="M17" s="39">
        <f>$I$17*M39*$B$45</f>
        <v>2506.5600000000004</v>
      </c>
      <c r="N17" s="39">
        <f>$I$17*N39*$B$45</f>
        <v>2763.264</v>
      </c>
      <c r="O17" s="38" t="s">
        <v>52</v>
      </c>
      <c r="P17" s="8">
        <v>6.63867871352785</v>
      </c>
      <c r="Q17" s="8">
        <v>0.56</v>
      </c>
      <c r="R17" s="18">
        <f>$I$17*R39*$B$45</f>
        <v>2598.6240000000003</v>
      </c>
      <c r="S17" s="39">
        <f>$I$17*S39*$B$45</f>
        <v>2798.208</v>
      </c>
      <c r="T17" s="38" t="s">
        <v>52</v>
      </c>
      <c r="U17" s="17">
        <v>6.63867871352785</v>
      </c>
      <c r="V17" s="8">
        <f>0.56*B46</f>
        <v>0.56</v>
      </c>
      <c r="W17" s="39">
        <f>$V$17*W39*$B$45</f>
        <v>3515.2320000000004</v>
      </c>
      <c r="X17" s="38" t="s">
        <v>52</v>
      </c>
      <c r="Y17" s="8">
        <v>0.56</v>
      </c>
      <c r="Z17" s="39">
        <f>$Y$17*$B$45*Z39</f>
        <v>7225.344000000001</v>
      </c>
      <c r="BW17" s="1"/>
      <c r="BX17" s="1"/>
      <c r="BY17" s="1"/>
      <c r="BZ17" s="1"/>
    </row>
    <row r="18" spans="1:78" ht="12.75">
      <c r="A18" s="69" t="s">
        <v>17</v>
      </c>
      <c r="B18" s="69"/>
      <c r="C18" s="69"/>
      <c r="D18" s="69"/>
      <c r="E18" s="69"/>
      <c r="F18" s="70"/>
      <c r="G18" s="38" t="s">
        <v>52</v>
      </c>
      <c r="H18" s="8">
        <v>23.528449933686996</v>
      </c>
      <c r="I18" s="8">
        <f>0.37*B46</f>
        <v>0.37</v>
      </c>
      <c r="J18" s="18">
        <f>$I$18*J39*$B$45</f>
        <v>3301.584</v>
      </c>
      <c r="K18" s="18">
        <f>$I$18*K39*$B$45</f>
        <v>3768.6719999999996</v>
      </c>
      <c r="L18" s="18">
        <f>$I$18*L39*$B$45</f>
        <v>1902.54</v>
      </c>
      <c r="M18" s="39">
        <f>$I$18*M39*$B$45</f>
        <v>1656.12</v>
      </c>
      <c r="N18" s="39">
        <f>$I$18*N39*$B$45</f>
        <v>1825.728</v>
      </c>
      <c r="O18" s="38" t="s">
        <v>52</v>
      </c>
      <c r="P18" s="8">
        <v>23.528449933686996</v>
      </c>
      <c r="Q18" s="8">
        <v>0.37</v>
      </c>
      <c r="R18" s="18">
        <f>$I$18*R39*$B$45</f>
        <v>1716.948</v>
      </c>
      <c r="S18" s="39">
        <f>$I$18*S39*$B$45</f>
        <v>1848.8159999999998</v>
      </c>
      <c r="T18" s="38" t="s">
        <v>52</v>
      </c>
      <c r="U18" s="17">
        <v>23.528449933686996</v>
      </c>
      <c r="V18" s="8">
        <f>0.37*B46</f>
        <v>0.37</v>
      </c>
      <c r="W18" s="39">
        <f>$V$18*W39*$B$45</f>
        <v>2322.564</v>
      </c>
      <c r="X18" s="38" t="s">
        <v>52</v>
      </c>
      <c r="Y18" s="8">
        <v>0.37</v>
      </c>
      <c r="Z18" s="39">
        <f>$Y$18*$B$45*Z39</f>
        <v>4773.888</v>
      </c>
      <c r="BW18" s="1"/>
      <c r="BX18" s="1"/>
      <c r="BY18" s="1"/>
      <c r="BZ18" s="1"/>
    </row>
    <row r="19" spans="1:78" ht="12.75">
      <c r="A19" s="69" t="s">
        <v>18</v>
      </c>
      <c r="B19" s="69"/>
      <c r="C19" s="69"/>
      <c r="D19" s="69"/>
      <c r="E19" s="69"/>
      <c r="F19" s="70"/>
      <c r="G19" s="38" t="s">
        <v>52</v>
      </c>
      <c r="H19" s="8">
        <v>0.40813328912466834</v>
      </c>
      <c r="I19" s="8">
        <f>0.28*B46</f>
        <v>0.28</v>
      </c>
      <c r="J19" s="18">
        <f>$I$19*J39*$B$45</f>
        <v>2498.496</v>
      </c>
      <c r="K19" s="18">
        <f>$I$19*K39*$B$45</f>
        <v>2851.9680000000003</v>
      </c>
      <c r="L19" s="18">
        <f>$I$19*L39*$B$45</f>
        <v>1439.7600000000002</v>
      </c>
      <c r="M19" s="39">
        <f>$I$19*M39*$B$45</f>
        <v>1253.2800000000002</v>
      </c>
      <c r="N19" s="39">
        <f>$I$19*N39*$B$45</f>
        <v>1381.632</v>
      </c>
      <c r="O19" s="38" t="s">
        <v>52</v>
      </c>
      <c r="P19" s="8">
        <v>0.40813328912466834</v>
      </c>
      <c r="Q19" s="8">
        <v>0.28</v>
      </c>
      <c r="R19" s="18">
        <f>$I$19*R39*$B$45</f>
        <v>1299.3120000000001</v>
      </c>
      <c r="S19" s="39">
        <f>$I$19*S39*$B$45</f>
        <v>1399.104</v>
      </c>
      <c r="T19" s="38" t="s">
        <v>52</v>
      </c>
      <c r="U19" s="17">
        <v>0.40813328912466834</v>
      </c>
      <c r="V19" s="8">
        <f>0.28*B46</f>
        <v>0.28</v>
      </c>
      <c r="W19" s="39">
        <f>$V$19*W39*$B$45</f>
        <v>1757.6160000000002</v>
      </c>
      <c r="X19" s="38" t="s">
        <v>52</v>
      </c>
      <c r="Y19" s="8">
        <v>0.28</v>
      </c>
      <c r="Z19" s="39">
        <f>$Y$19*$B$45*Z39</f>
        <v>3612.6720000000005</v>
      </c>
      <c r="BW19" s="1"/>
      <c r="BX19" s="1"/>
      <c r="BY19" s="1"/>
      <c r="BZ19" s="1"/>
    </row>
    <row r="20" spans="1:78" ht="43.5" customHeight="1">
      <c r="A20" s="69" t="s">
        <v>29</v>
      </c>
      <c r="B20" s="69"/>
      <c r="C20" s="69"/>
      <c r="D20" s="69"/>
      <c r="E20" s="69"/>
      <c r="F20" s="70"/>
      <c r="G20" s="41" t="s">
        <v>19</v>
      </c>
      <c r="H20" s="8">
        <v>12.083350464190978</v>
      </c>
      <c r="I20" s="8">
        <f>0.68*B46</f>
        <v>0.68</v>
      </c>
      <c r="J20" s="18">
        <f>$I$20*J39*$B$45</f>
        <v>6067.776</v>
      </c>
      <c r="K20" s="18">
        <f>$I$20*K39*$B$45</f>
        <v>6926.208</v>
      </c>
      <c r="L20" s="18">
        <f>$I$20*L39*$B$45</f>
        <v>3496.56</v>
      </c>
      <c r="M20" s="39">
        <f>$I$20*M39*$B$45</f>
        <v>3043.6800000000003</v>
      </c>
      <c r="N20" s="39">
        <f>$I$20*N39*$B$45</f>
        <v>3355.392</v>
      </c>
      <c r="O20" s="41" t="s">
        <v>19</v>
      </c>
      <c r="P20" s="8">
        <v>12.083350464190978</v>
      </c>
      <c r="Q20" s="8">
        <v>0.68</v>
      </c>
      <c r="R20" s="18">
        <f>$I$20*R39*$B$45</f>
        <v>3155.472</v>
      </c>
      <c r="S20" s="39">
        <f>$I$20*S39*$B$45</f>
        <v>3397.8239999999996</v>
      </c>
      <c r="T20" s="41" t="s">
        <v>19</v>
      </c>
      <c r="U20" s="17">
        <v>12.083350464190978</v>
      </c>
      <c r="V20" s="8">
        <f>0.68*B46</f>
        <v>0.68</v>
      </c>
      <c r="W20" s="39">
        <f>$V$20*W39*$B$45</f>
        <v>4268.496</v>
      </c>
      <c r="X20" s="41" t="s">
        <v>19</v>
      </c>
      <c r="Y20" s="8">
        <v>0.68</v>
      </c>
      <c r="Z20" s="39">
        <f>$Y$20*$B$45*Z39</f>
        <v>8773.632000000001</v>
      </c>
      <c r="BW20" s="1"/>
      <c r="BX20" s="1"/>
      <c r="BY20" s="1"/>
      <c r="BZ20" s="1"/>
    </row>
    <row r="21" spans="1:78" ht="12.75">
      <c r="A21" s="69" t="s">
        <v>57</v>
      </c>
      <c r="B21" s="69"/>
      <c r="C21" s="69"/>
      <c r="D21" s="69"/>
      <c r="E21" s="69"/>
      <c r="F21" s="70"/>
      <c r="G21" s="38" t="s">
        <v>53</v>
      </c>
      <c r="H21" s="8">
        <v>7.994505494505494</v>
      </c>
      <c r="I21" s="8">
        <f>0.23*B46</f>
        <v>0.23</v>
      </c>
      <c r="J21" s="18">
        <f>$I$21*J39*$B$45</f>
        <v>2052.3360000000002</v>
      </c>
      <c r="K21" s="18">
        <f>$I$21*K39*$B$45</f>
        <v>2342.688</v>
      </c>
      <c r="L21" s="18">
        <f>$I$21*L39*$B$45</f>
        <v>1182.66</v>
      </c>
      <c r="M21" s="39">
        <f>$I$21*M39*$B$45</f>
        <v>1029.48</v>
      </c>
      <c r="N21" s="39">
        <f>$I$21*N39*$B$45</f>
        <v>1134.912</v>
      </c>
      <c r="O21" s="38" t="s">
        <v>53</v>
      </c>
      <c r="P21" s="8">
        <v>7.994505494505494</v>
      </c>
      <c r="Q21" s="8">
        <v>0.23</v>
      </c>
      <c r="R21" s="18">
        <f>$I$21*R39*$B$45</f>
        <v>1067.292</v>
      </c>
      <c r="S21" s="39">
        <f>$I$21*S39*$B$45</f>
        <v>1149.2640000000001</v>
      </c>
      <c r="T21" s="38" t="s">
        <v>53</v>
      </c>
      <c r="U21" s="17">
        <v>7.994505494505494</v>
      </c>
      <c r="V21" s="8">
        <f>0.23*B46</f>
        <v>0.23</v>
      </c>
      <c r="W21" s="39">
        <f>$V$21*W39*$B$45</f>
        <v>1443.7560000000003</v>
      </c>
      <c r="X21" s="38" t="s">
        <v>53</v>
      </c>
      <c r="Y21" s="8">
        <v>0.23</v>
      </c>
      <c r="Z21" s="39">
        <f>$Y$21*$B$45*Z39</f>
        <v>2967.5520000000006</v>
      </c>
      <c r="BW21" s="1"/>
      <c r="BX21" s="1"/>
      <c r="BY21" s="1"/>
      <c r="BZ21" s="1"/>
    </row>
    <row r="22" spans="1:78" ht="12.75">
      <c r="A22" s="69" t="s">
        <v>30</v>
      </c>
      <c r="B22" s="69"/>
      <c r="C22" s="69"/>
      <c r="D22" s="69"/>
      <c r="E22" s="69"/>
      <c r="F22" s="70"/>
      <c r="G22" s="38" t="s">
        <v>52</v>
      </c>
      <c r="H22" s="8">
        <v>7.994505494505494</v>
      </c>
      <c r="I22" s="8">
        <f>2.74*B46</f>
        <v>2.74</v>
      </c>
      <c r="J22" s="18">
        <f>$I$22*J39*$B$45</f>
        <v>24449.568000000003</v>
      </c>
      <c r="K22" s="18">
        <f>$I$22*K39*$B$45</f>
        <v>27908.544</v>
      </c>
      <c r="L22" s="18">
        <f>$I$22*L39*$B$45</f>
        <v>14089.080000000002</v>
      </c>
      <c r="M22" s="39">
        <f>$I$22*M39*$B$45</f>
        <v>12264.240000000002</v>
      </c>
      <c r="N22" s="39">
        <f>$I$22*N39*$B$45</f>
        <v>13520.256000000001</v>
      </c>
      <c r="O22" s="38" t="s">
        <v>52</v>
      </c>
      <c r="P22" s="8">
        <v>7.994505494505494</v>
      </c>
      <c r="Q22" s="8">
        <v>2.74</v>
      </c>
      <c r="R22" s="18">
        <f>$I$22*R39*$B$45</f>
        <v>12714.696</v>
      </c>
      <c r="S22" s="39">
        <f>$I$22*S39*$B$45</f>
        <v>13691.232</v>
      </c>
      <c r="T22" s="38" t="s">
        <v>52</v>
      </c>
      <c r="U22" s="17">
        <v>7.994505494505494</v>
      </c>
      <c r="V22" s="8">
        <f>2.74*B46</f>
        <v>2.74</v>
      </c>
      <c r="W22" s="39">
        <f>$V$22*W39*$B$45</f>
        <v>17199.528000000002</v>
      </c>
      <c r="X22" s="38" t="s">
        <v>52</v>
      </c>
      <c r="Y22" s="8">
        <v>2.74</v>
      </c>
      <c r="Z22" s="39">
        <f>$Y$22*$B$45*Z39</f>
        <v>35352.576</v>
      </c>
      <c r="BW22" s="1"/>
      <c r="BX22" s="1"/>
      <c r="BY22" s="1"/>
      <c r="BZ22" s="1"/>
    </row>
    <row r="23" spans="1:78" ht="12.75">
      <c r="A23" s="69" t="s">
        <v>31</v>
      </c>
      <c r="B23" s="69"/>
      <c r="C23" s="69"/>
      <c r="D23" s="69"/>
      <c r="E23" s="69"/>
      <c r="F23" s="70"/>
      <c r="G23" s="38" t="s">
        <v>9</v>
      </c>
      <c r="H23" s="8">
        <v>7.994505494505494</v>
      </c>
      <c r="I23" s="8">
        <v>0</v>
      </c>
      <c r="J23" s="18">
        <f>$I$23*J39*$B$45</f>
        <v>0</v>
      </c>
      <c r="K23" s="18">
        <f>$I$23*K39*$B$45</f>
        <v>0</v>
      </c>
      <c r="L23" s="18">
        <f>$I$23*L39*$B$45</f>
        <v>0</v>
      </c>
      <c r="M23" s="39">
        <f>$I$23*M39*$B$45</f>
        <v>0</v>
      </c>
      <c r="N23" s="39">
        <f>$I$23*N39*$B$45</f>
        <v>0</v>
      </c>
      <c r="O23" s="38" t="s">
        <v>9</v>
      </c>
      <c r="P23" s="8">
        <v>7.994505494505494</v>
      </c>
      <c r="Q23" s="8">
        <v>0</v>
      </c>
      <c r="R23" s="18">
        <f>$I$23*R39*$B$45</f>
        <v>0</v>
      </c>
      <c r="S23" s="39">
        <f>$I$23*S39*$B$45</f>
        <v>0</v>
      </c>
      <c r="T23" s="38" t="s">
        <v>9</v>
      </c>
      <c r="U23" s="17">
        <v>7.994505494505494</v>
      </c>
      <c r="V23" s="8">
        <v>0</v>
      </c>
      <c r="W23" s="39">
        <f>$I$23*W39*$B$45</f>
        <v>0</v>
      </c>
      <c r="X23" s="38" t="s">
        <v>9</v>
      </c>
      <c r="Y23" s="8">
        <v>0</v>
      </c>
      <c r="Z23" s="39">
        <f>$Y$23*$B$45*Z39</f>
        <v>0</v>
      </c>
      <c r="BW23" s="1"/>
      <c r="BX23" s="1"/>
      <c r="BY23" s="1"/>
      <c r="BZ23" s="1"/>
    </row>
    <row r="24" spans="1:78" ht="13.5" customHeight="1">
      <c r="A24" s="76" t="s">
        <v>20</v>
      </c>
      <c r="B24" s="76"/>
      <c r="C24" s="76"/>
      <c r="D24" s="76"/>
      <c r="E24" s="76"/>
      <c r="F24" s="77"/>
      <c r="G24" s="40"/>
      <c r="H24" s="5">
        <f aca="true" t="shared" si="2" ref="H24:N24">SUM(H25:H28)</f>
        <v>33.76989389920425</v>
      </c>
      <c r="I24" s="27">
        <f>SUM(I25:I28)</f>
        <v>5.6</v>
      </c>
      <c r="J24" s="16">
        <f t="shared" si="2"/>
        <v>49969.920000000006</v>
      </c>
      <c r="K24" s="16">
        <f t="shared" si="2"/>
        <v>57039.35999999999</v>
      </c>
      <c r="L24" s="16">
        <f t="shared" si="2"/>
        <v>28795.2</v>
      </c>
      <c r="M24" s="37">
        <f>SUM(M25:M28)</f>
        <v>25065.6</v>
      </c>
      <c r="N24" s="37">
        <f t="shared" si="2"/>
        <v>27632.64</v>
      </c>
      <c r="O24" s="40"/>
      <c r="P24" s="5">
        <f>SUM(P25:P28)</f>
        <v>33.76989389920425</v>
      </c>
      <c r="Q24" s="27">
        <f>SUM(Q25:Q28)</f>
        <v>5.6</v>
      </c>
      <c r="R24" s="16">
        <f>SUM(R25:R28)</f>
        <v>25986.239999999998</v>
      </c>
      <c r="S24" s="37">
        <f>SUM(S25:S28)</f>
        <v>27982.08</v>
      </c>
      <c r="T24" s="52"/>
      <c r="U24" s="19">
        <f>SUM(U25:U28)</f>
        <v>33.76989389920425</v>
      </c>
      <c r="V24" s="27">
        <f>SUM(V25:V28)</f>
        <v>5.14</v>
      </c>
      <c r="W24" s="37">
        <f>SUM(W25:W28)</f>
        <v>32264.807999999997</v>
      </c>
      <c r="X24" s="52"/>
      <c r="Y24" s="27">
        <f>SUM(Y25:Y28)</f>
        <v>6</v>
      </c>
      <c r="Z24" s="43">
        <f>SUM(Z25:Z28)</f>
        <v>77414.40000000001</v>
      </c>
      <c r="BW24" s="1"/>
      <c r="BX24" s="1"/>
      <c r="BY24" s="1"/>
      <c r="BZ24" s="1"/>
    </row>
    <row r="25" spans="1:78" ht="12.75">
      <c r="A25" s="69" t="s">
        <v>32</v>
      </c>
      <c r="B25" s="69"/>
      <c r="C25" s="69"/>
      <c r="D25" s="69"/>
      <c r="E25" s="69"/>
      <c r="F25" s="70"/>
      <c r="G25" s="38" t="s">
        <v>21</v>
      </c>
      <c r="H25" s="7">
        <v>0.3445907540735127</v>
      </c>
      <c r="I25" s="8">
        <v>0</v>
      </c>
      <c r="J25" s="18">
        <f>$I$25*J39*$B$45</f>
        <v>0</v>
      </c>
      <c r="K25" s="18">
        <f>$I$25*K39*$B$45</f>
        <v>0</v>
      </c>
      <c r="L25" s="18">
        <f>$I$25*L39*$B$45</f>
        <v>0</v>
      </c>
      <c r="M25" s="39">
        <f>$I$25*M39*$B$45</f>
        <v>0</v>
      </c>
      <c r="N25" s="39">
        <f>$I$25*N39*$B$45</f>
        <v>0</v>
      </c>
      <c r="O25" s="38" t="s">
        <v>21</v>
      </c>
      <c r="P25" s="7">
        <v>0.3445907540735127</v>
      </c>
      <c r="Q25" s="8">
        <v>0</v>
      </c>
      <c r="R25" s="18">
        <f>$I$25*R39*$B$45</f>
        <v>0</v>
      </c>
      <c r="S25" s="39">
        <f>$I$25*S39*$B$45</f>
        <v>0</v>
      </c>
      <c r="T25" s="38" t="s">
        <v>21</v>
      </c>
      <c r="U25" s="17">
        <v>0.3445907540735127</v>
      </c>
      <c r="V25" s="8">
        <v>0</v>
      </c>
      <c r="W25" s="39">
        <f>$I$25*W39*$B$45</f>
        <v>0</v>
      </c>
      <c r="X25" s="38" t="s">
        <v>21</v>
      </c>
      <c r="Y25" s="8">
        <v>0</v>
      </c>
      <c r="Z25" s="39">
        <f>$Y$25*$B$45*Z39</f>
        <v>0</v>
      </c>
      <c r="BW25" s="1"/>
      <c r="BX25" s="1"/>
      <c r="BY25" s="1"/>
      <c r="BZ25" s="1"/>
    </row>
    <row r="26" spans="1:78" ht="37.5" customHeight="1">
      <c r="A26" s="65" t="s">
        <v>33</v>
      </c>
      <c r="B26" s="65"/>
      <c r="C26" s="65"/>
      <c r="D26" s="65"/>
      <c r="E26" s="65"/>
      <c r="F26" s="66"/>
      <c r="G26" s="38" t="s">
        <v>54</v>
      </c>
      <c r="H26" s="7">
        <v>7.580996589617279</v>
      </c>
      <c r="I26" s="8">
        <f>0.35*B46</f>
        <v>0.35</v>
      </c>
      <c r="J26" s="18">
        <f>$I$26*J39*$B$45</f>
        <v>3123.12</v>
      </c>
      <c r="K26" s="18">
        <f>$I$26*K39*$B$45</f>
        <v>3564.96</v>
      </c>
      <c r="L26" s="18">
        <f>$I$26*L39*$B$45</f>
        <v>1799.6999999999998</v>
      </c>
      <c r="M26" s="39">
        <f>$I$26*M39*$B$45</f>
        <v>1566.6</v>
      </c>
      <c r="N26" s="39">
        <f>$I$26*N39*$B$45</f>
        <v>1727.04</v>
      </c>
      <c r="O26" s="38" t="s">
        <v>54</v>
      </c>
      <c r="P26" s="7">
        <v>7.580996589617279</v>
      </c>
      <c r="Q26" s="8">
        <v>0.35</v>
      </c>
      <c r="R26" s="18">
        <f>$I$26*R39*$B$45</f>
        <v>1624.1399999999999</v>
      </c>
      <c r="S26" s="39">
        <f>$I$26*S39*$B$45</f>
        <v>1748.8799999999997</v>
      </c>
      <c r="T26" s="38" t="s">
        <v>54</v>
      </c>
      <c r="U26" s="17">
        <v>7.580996589617279</v>
      </c>
      <c r="V26" s="8">
        <f>0.35*B46</f>
        <v>0.35</v>
      </c>
      <c r="W26" s="39">
        <f>$I$26*W39*$B$45</f>
        <v>2197.02</v>
      </c>
      <c r="X26" s="38" t="s">
        <v>54</v>
      </c>
      <c r="Y26" s="8">
        <v>0.59</v>
      </c>
      <c r="Z26" s="39">
        <f>$Y$26*$B$45*Z39</f>
        <v>7612.416</v>
      </c>
      <c r="BW26" s="1"/>
      <c r="BX26" s="1"/>
      <c r="BY26" s="1"/>
      <c r="BZ26" s="1"/>
    </row>
    <row r="27" spans="1:78" ht="45" customHeight="1">
      <c r="A27" s="65" t="s">
        <v>34</v>
      </c>
      <c r="B27" s="65"/>
      <c r="C27" s="65"/>
      <c r="D27" s="65"/>
      <c r="E27" s="65"/>
      <c r="F27" s="66"/>
      <c r="G27" s="41" t="s">
        <v>22</v>
      </c>
      <c r="H27" s="9">
        <v>2.067544524441076</v>
      </c>
      <c r="I27" s="8">
        <f>0.04*B46</f>
        <v>0.04</v>
      </c>
      <c r="J27" s="18">
        <f>$I$27*J39*$B$45</f>
        <v>356.928</v>
      </c>
      <c r="K27" s="18">
        <f>$I$27*K39*$B$45</f>
        <v>407.424</v>
      </c>
      <c r="L27" s="18">
        <f>$I$27*L39*$B$45</f>
        <v>205.68</v>
      </c>
      <c r="M27" s="39">
        <f>$I$27*M39*$B$45</f>
        <v>179.04</v>
      </c>
      <c r="N27" s="39">
        <f>$I$27*N39*$B$45</f>
        <v>197.376</v>
      </c>
      <c r="O27" s="41" t="s">
        <v>22</v>
      </c>
      <c r="P27" s="9">
        <v>2.067544524441076</v>
      </c>
      <c r="Q27" s="8">
        <v>0.04</v>
      </c>
      <c r="R27" s="18">
        <f>$I$27*R39*$B$45</f>
        <v>185.61599999999999</v>
      </c>
      <c r="S27" s="39">
        <f>$I$27*S39*$B$45</f>
        <v>199.87199999999999</v>
      </c>
      <c r="T27" s="41" t="s">
        <v>22</v>
      </c>
      <c r="U27" s="20">
        <v>2.067544524441076</v>
      </c>
      <c r="V27" s="8">
        <f>0.04*B46</f>
        <v>0.04</v>
      </c>
      <c r="W27" s="39">
        <f>V27*W39*B45</f>
        <v>251.08800000000002</v>
      </c>
      <c r="X27" s="41" t="s">
        <v>22</v>
      </c>
      <c r="Y27" s="8">
        <v>0.04</v>
      </c>
      <c r="Z27" s="39">
        <f>$Y$27*$B$45*Z39</f>
        <v>516.096</v>
      </c>
      <c r="BW27" s="1"/>
      <c r="BX27" s="1"/>
      <c r="BY27" s="1"/>
      <c r="BZ27" s="1"/>
    </row>
    <row r="28" spans="1:78" ht="68.25" customHeight="1">
      <c r="A28" s="65" t="s">
        <v>35</v>
      </c>
      <c r="B28" s="65"/>
      <c r="C28" s="65"/>
      <c r="D28" s="65"/>
      <c r="E28" s="65"/>
      <c r="F28" s="66"/>
      <c r="G28" s="38" t="s">
        <v>54</v>
      </c>
      <c r="H28" s="7">
        <v>23.776762031072376</v>
      </c>
      <c r="I28" s="8">
        <f>5.21*B46</f>
        <v>5.21</v>
      </c>
      <c r="J28" s="18">
        <f>$I$28*J39*$B$45</f>
        <v>46489.872</v>
      </c>
      <c r="K28" s="18">
        <f>$I$28*K39*$B$45</f>
        <v>53066.975999999995</v>
      </c>
      <c r="L28" s="18">
        <f>$I$28*L39*$B$45</f>
        <v>26789.82</v>
      </c>
      <c r="M28" s="39">
        <f>$I$28*M39*$B$45</f>
        <v>23319.96</v>
      </c>
      <c r="N28" s="39">
        <f>$I$28*N39*$B$45</f>
        <v>25708.224</v>
      </c>
      <c r="O28" s="38" t="s">
        <v>54</v>
      </c>
      <c r="P28" s="7">
        <v>23.776762031072376</v>
      </c>
      <c r="Q28" s="8">
        <v>5.21</v>
      </c>
      <c r="R28" s="18">
        <f>$I$28*R39*$B$45</f>
        <v>24176.483999999997</v>
      </c>
      <c r="S28" s="39">
        <f>$I$28*S39*$B$45</f>
        <v>26033.328</v>
      </c>
      <c r="T28" s="38" t="s">
        <v>54</v>
      </c>
      <c r="U28" s="17">
        <v>23.776762031072376</v>
      </c>
      <c r="V28" s="8">
        <f>4.75*B46</f>
        <v>4.75</v>
      </c>
      <c r="W28" s="39">
        <f>V28*W39*B45</f>
        <v>29816.699999999997</v>
      </c>
      <c r="X28" s="38" t="s">
        <v>54</v>
      </c>
      <c r="Y28" s="8">
        <v>5.37</v>
      </c>
      <c r="Z28" s="39">
        <f>$Y$28*$B$45*Z39</f>
        <v>69285.888</v>
      </c>
      <c r="BW28" s="1"/>
      <c r="BX28" s="1"/>
      <c r="BY28" s="1"/>
      <c r="BZ28" s="1"/>
    </row>
    <row r="29" spans="1:78" ht="12.75">
      <c r="A29" s="67" t="s">
        <v>23</v>
      </c>
      <c r="B29" s="67"/>
      <c r="C29" s="67"/>
      <c r="D29" s="67"/>
      <c r="E29" s="67"/>
      <c r="F29" s="68"/>
      <c r="G29" s="40"/>
      <c r="H29" s="5">
        <f>SUM(H30:H32)</f>
        <v>14.81716559302766</v>
      </c>
      <c r="I29" s="27">
        <f aca="true" t="shared" si="3" ref="I29:N29">SUM(I30:I35)</f>
        <v>3.15</v>
      </c>
      <c r="J29" s="16">
        <f t="shared" si="3"/>
        <v>28108.079999999994</v>
      </c>
      <c r="K29" s="16">
        <f t="shared" si="3"/>
        <v>32084.64</v>
      </c>
      <c r="L29" s="16">
        <f t="shared" si="3"/>
        <v>16197.300000000001</v>
      </c>
      <c r="M29" s="37">
        <f t="shared" si="3"/>
        <v>14099.4</v>
      </c>
      <c r="N29" s="37">
        <f t="shared" si="3"/>
        <v>15543.359999999999</v>
      </c>
      <c r="O29" s="40"/>
      <c r="P29" s="5">
        <f>SUM(P30:P32)</f>
        <v>14.81716559302766</v>
      </c>
      <c r="Q29" s="27">
        <f>SUM(Q30:Q35)</f>
        <v>3.15</v>
      </c>
      <c r="R29" s="16">
        <f>SUM(R30:R35)</f>
        <v>14617.260000000002</v>
      </c>
      <c r="S29" s="37">
        <f>SUM(S30:S35)</f>
        <v>15739.92</v>
      </c>
      <c r="T29" s="52"/>
      <c r="U29" s="19">
        <f>SUM(U30:U32)</f>
        <v>14.81716559302766</v>
      </c>
      <c r="V29" s="27">
        <f>SUM(V30:V35)</f>
        <v>3.15</v>
      </c>
      <c r="W29" s="37">
        <f>SUM(W30:W35)</f>
        <v>19773.180000000004</v>
      </c>
      <c r="X29" s="52"/>
      <c r="Y29" s="27">
        <f>SUM(Y30:Y35)</f>
        <v>3.2299999999999995</v>
      </c>
      <c r="Z29" s="37">
        <f>SUM(Z30:Z35)</f>
        <v>41674.75200000001</v>
      </c>
      <c r="BW29" s="1"/>
      <c r="BX29" s="1"/>
      <c r="BY29" s="1"/>
      <c r="BZ29" s="1"/>
    </row>
    <row r="30" spans="1:78" ht="106.5" customHeight="1">
      <c r="A30" s="65" t="s">
        <v>36</v>
      </c>
      <c r="B30" s="65"/>
      <c r="C30" s="65"/>
      <c r="D30" s="65"/>
      <c r="E30" s="65"/>
      <c r="F30" s="66"/>
      <c r="G30" s="41" t="s">
        <v>55</v>
      </c>
      <c r="H30" s="9">
        <v>11.753978779840848</v>
      </c>
      <c r="I30" s="8">
        <f>1.36*B46</f>
        <v>1.36</v>
      </c>
      <c r="J30" s="21">
        <f>$I$30*J39*$B$45</f>
        <v>12135.552</v>
      </c>
      <c r="K30" s="21">
        <f>$I$30*K39*$B$45</f>
        <v>13852.416</v>
      </c>
      <c r="L30" s="21">
        <f>$I$30*L39*$B$45</f>
        <v>6993.12</v>
      </c>
      <c r="M30" s="42">
        <f>$I$30*M39*$B$45</f>
        <v>6087.360000000001</v>
      </c>
      <c r="N30" s="42">
        <f>$I$30*N39*$B$45</f>
        <v>6710.784</v>
      </c>
      <c r="O30" s="41" t="s">
        <v>55</v>
      </c>
      <c r="P30" s="9">
        <v>11.753978779840848</v>
      </c>
      <c r="Q30" s="8">
        <v>1.36</v>
      </c>
      <c r="R30" s="21">
        <f>$I$30*R39*$B$45</f>
        <v>6310.944</v>
      </c>
      <c r="S30" s="42">
        <f>$I$30*S39*$B$45</f>
        <v>6795.647999999999</v>
      </c>
      <c r="T30" s="41" t="s">
        <v>55</v>
      </c>
      <c r="U30" s="20">
        <v>11.753978779840848</v>
      </c>
      <c r="V30" s="8">
        <f>1.36*B46</f>
        <v>1.36</v>
      </c>
      <c r="W30" s="42">
        <f>$I$30*W39*$B$45</f>
        <v>8536.992</v>
      </c>
      <c r="X30" s="41" t="s">
        <v>55</v>
      </c>
      <c r="Y30" s="8">
        <v>1.64</v>
      </c>
      <c r="Z30" s="39">
        <f>$Y$30*$B$45*Z39</f>
        <v>21159.936</v>
      </c>
      <c r="BW30" s="1"/>
      <c r="BX30" s="1"/>
      <c r="BY30" s="1"/>
      <c r="BZ30" s="1"/>
    </row>
    <row r="31" spans="1:78" ht="54.75" customHeight="1">
      <c r="A31" s="69" t="s">
        <v>37</v>
      </c>
      <c r="B31" s="69"/>
      <c r="C31" s="69"/>
      <c r="D31" s="69"/>
      <c r="E31" s="69"/>
      <c r="F31" s="70"/>
      <c r="G31" s="41" t="s">
        <v>24</v>
      </c>
      <c r="H31" s="9">
        <v>2.2252747252747254</v>
      </c>
      <c r="I31" s="8">
        <f>0.89*B46</f>
        <v>0.89</v>
      </c>
      <c r="J31" s="21">
        <f>$I$31*J39*$B$45</f>
        <v>7941.647999999999</v>
      </c>
      <c r="K31" s="21">
        <f>$I$31*K39*$B$45</f>
        <v>9065.184000000001</v>
      </c>
      <c r="L31" s="21">
        <f>$I$31*L39*$B$45</f>
        <v>4576.38</v>
      </c>
      <c r="M31" s="42">
        <f>$I$31*M39*$B$45</f>
        <v>3983.6400000000003</v>
      </c>
      <c r="N31" s="42">
        <f>$I$31*N39*$B$45</f>
        <v>4391.616</v>
      </c>
      <c r="O31" s="41" t="s">
        <v>24</v>
      </c>
      <c r="P31" s="9">
        <v>2.2252747252747254</v>
      </c>
      <c r="Q31" s="8">
        <v>0.89</v>
      </c>
      <c r="R31" s="21">
        <f>$I$31*R39*$B$45</f>
        <v>4129.956</v>
      </c>
      <c r="S31" s="42">
        <f>$I$31*S39*$B$45</f>
        <v>4447.152</v>
      </c>
      <c r="T31" s="54" t="s">
        <v>24</v>
      </c>
      <c r="U31" s="20">
        <v>2.2252747252747254</v>
      </c>
      <c r="V31" s="8">
        <f>0.89*B46</f>
        <v>0.89</v>
      </c>
      <c r="W31" s="42">
        <f>$I$31*W39*$B$45</f>
        <v>5586.7080000000005</v>
      </c>
      <c r="X31" s="54" t="s">
        <v>24</v>
      </c>
      <c r="Y31" s="8">
        <v>0.89</v>
      </c>
      <c r="Z31" s="39">
        <f>$Y$31*$B$45*Z39</f>
        <v>11483.136</v>
      </c>
      <c r="BW31" s="1"/>
      <c r="BX31" s="1"/>
      <c r="BY31" s="1"/>
      <c r="BZ31" s="1"/>
    </row>
    <row r="32" spans="1:78" ht="12.75">
      <c r="A32" s="69" t="s">
        <v>38</v>
      </c>
      <c r="B32" s="69"/>
      <c r="C32" s="69"/>
      <c r="D32" s="69"/>
      <c r="E32" s="69"/>
      <c r="F32" s="70"/>
      <c r="G32" s="38" t="s">
        <v>56</v>
      </c>
      <c r="H32" s="7">
        <v>0.8379120879120879</v>
      </c>
      <c r="I32" s="8">
        <f>0.58*B46</f>
        <v>0.58</v>
      </c>
      <c r="J32" s="21">
        <f>$I$32*J39*$B$45</f>
        <v>5175.456</v>
      </c>
      <c r="K32" s="21">
        <f>$I$32*K39*$B$45</f>
        <v>5907.647999999999</v>
      </c>
      <c r="L32" s="21">
        <f>$I$32*L39*$B$45</f>
        <v>2982.3599999999997</v>
      </c>
      <c r="M32" s="42">
        <f>$I$32*M39*$B$45</f>
        <v>2596.08</v>
      </c>
      <c r="N32" s="42">
        <f>$I$32*N39*$B$45</f>
        <v>2861.9519999999998</v>
      </c>
      <c r="O32" s="38" t="s">
        <v>56</v>
      </c>
      <c r="P32" s="7">
        <v>0.8379120879120879</v>
      </c>
      <c r="Q32" s="8">
        <v>0.58</v>
      </c>
      <c r="R32" s="21">
        <f>$I$32*R39*$B$45</f>
        <v>2691.432</v>
      </c>
      <c r="S32" s="42">
        <f>$I$32*S39*$B$45</f>
        <v>2898.144</v>
      </c>
      <c r="T32" s="38" t="s">
        <v>56</v>
      </c>
      <c r="U32" s="17">
        <v>0.8379120879120879</v>
      </c>
      <c r="V32" s="8">
        <f>0.58*B46</f>
        <v>0.58</v>
      </c>
      <c r="W32" s="42">
        <f>$I$32*W39*$B$45</f>
        <v>3640.776</v>
      </c>
      <c r="X32" s="38" t="s">
        <v>56</v>
      </c>
      <c r="Y32" s="8">
        <v>0.38</v>
      </c>
      <c r="Z32" s="39">
        <f>$Y$32*$B$45*Z39</f>
        <v>4902.912000000001</v>
      </c>
      <c r="BW32" s="1"/>
      <c r="BX32" s="1"/>
      <c r="BY32" s="1"/>
      <c r="BZ32" s="1"/>
    </row>
    <row r="33" spans="1:78" ht="12.75">
      <c r="A33" s="69" t="s">
        <v>43</v>
      </c>
      <c r="B33" s="69"/>
      <c r="C33" s="69"/>
      <c r="D33" s="69"/>
      <c r="E33" s="69"/>
      <c r="F33" s="70"/>
      <c r="G33" s="38" t="s">
        <v>54</v>
      </c>
      <c r="H33" s="7">
        <v>0.8379120879120879</v>
      </c>
      <c r="I33" s="8">
        <f>0.32*B46</f>
        <v>0.32</v>
      </c>
      <c r="J33" s="21">
        <f>$I$33*J39*$B$45</f>
        <v>2855.424</v>
      </c>
      <c r="K33" s="21">
        <f>$I$33*K39*$B$45</f>
        <v>3259.392</v>
      </c>
      <c r="L33" s="21">
        <f>$I$33*L39*$B$45</f>
        <v>1645.44</v>
      </c>
      <c r="M33" s="42">
        <f>$I$33*M39*$B$45</f>
        <v>1432.32</v>
      </c>
      <c r="N33" s="42">
        <f>$I$33*N39*$B$45</f>
        <v>1579.008</v>
      </c>
      <c r="O33" s="38" t="s">
        <v>54</v>
      </c>
      <c r="P33" s="7">
        <v>0.8379120879120879</v>
      </c>
      <c r="Q33" s="8">
        <v>0.32</v>
      </c>
      <c r="R33" s="21">
        <f>$I$33*R39*$B$45</f>
        <v>1484.9279999999999</v>
      </c>
      <c r="S33" s="42">
        <f>$I$33*S39*$B$45</f>
        <v>1598.9759999999999</v>
      </c>
      <c r="T33" s="38" t="s">
        <v>54</v>
      </c>
      <c r="U33" s="17">
        <v>0.8379120879120879</v>
      </c>
      <c r="V33" s="8">
        <f>0.32*B46</f>
        <v>0.32</v>
      </c>
      <c r="W33" s="42">
        <f>$I$33*W39*$B$45</f>
        <v>2008.7040000000002</v>
      </c>
      <c r="X33" s="38" t="s">
        <v>54</v>
      </c>
      <c r="Y33" s="8">
        <v>0.32</v>
      </c>
      <c r="Z33" s="39">
        <f>$Y$33*$B$45*Z39</f>
        <v>4128.768</v>
      </c>
      <c r="BW33" s="1"/>
      <c r="BX33" s="1"/>
      <c r="BY33" s="1"/>
      <c r="BZ33" s="1"/>
    </row>
    <row r="34" spans="1:78" ht="12.75">
      <c r="A34" s="69" t="s">
        <v>44</v>
      </c>
      <c r="B34" s="69"/>
      <c r="C34" s="69"/>
      <c r="D34" s="69"/>
      <c r="E34" s="69"/>
      <c r="F34" s="70"/>
      <c r="G34" s="38" t="s">
        <v>21</v>
      </c>
      <c r="H34" s="7">
        <v>0.8379120879120879</v>
      </c>
      <c r="I34" s="8">
        <f>0*B46</f>
        <v>0</v>
      </c>
      <c r="J34" s="21">
        <f>$I$34*J39*$B$45</f>
        <v>0</v>
      </c>
      <c r="K34" s="21">
        <f>$I$34*K39*$B$45</f>
        <v>0</v>
      </c>
      <c r="L34" s="21">
        <f>$I$34*L39*$B$45</f>
        <v>0</v>
      </c>
      <c r="M34" s="42">
        <f>$I$34*M39*$B$45</f>
        <v>0</v>
      </c>
      <c r="N34" s="42">
        <f>$I$34*N39*$B$45</f>
        <v>0</v>
      </c>
      <c r="O34" s="38" t="s">
        <v>21</v>
      </c>
      <c r="P34" s="7">
        <v>0.8379120879120879</v>
      </c>
      <c r="Q34" s="8">
        <f>0*I46</f>
        <v>0</v>
      </c>
      <c r="R34" s="21">
        <f>$I$34*R39*$B$45</f>
        <v>0</v>
      </c>
      <c r="S34" s="42">
        <f>$I$34*S39*$B$45</f>
        <v>0</v>
      </c>
      <c r="T34" s="38" t="s">
        <v>21</v>
      </c>
      <c r="U34" s="17">
        <v>0.8379120879120879</v>
      </c>
      <c r="V34" s="8">
        <f>0*J46</f>
        <v>0</v>
      </c>
      <c r="W34" s="42">
        <f>$I$34*W39*$B$45</f>
        <v>0</v>
      </c>
      <c r="X34" s="38" t="s">
        <v>21</v>
      </c>
      <c r="Y34" s="8">
        <v>0</v>
      </c>
      <c r="Z34" s="42">
        <f>$I$34*Z39*$B$45</f>
        <v>0</v>
      </c>
      <c r="BW34" s="1"/>
      <c r="BX34" s="1"/>
      <c r="BY34" s="1"/>
      <c r="BZ34" s="1"/>
    </row>
    <row r="35" spans="1:78" ht="12.75">
      <c r="A35" s="69" t="s">
        <v>45</v>
      </c>
      <c r="B35" s="69"/>
      <c r="C35" s="69"/>
      <c r="D35" s="69"/>
      <c r="E35" s="69"/>
      <c r="F35" s="70"/>
      <c r="G35" s="38" t="s">
        <v>21</v>
      </c>
      <c r="H35" s="7">
        <v>0.8379120879120879</v>
      </c>
      <c r="I35" s="8">
        <f>0*B46</f>
        <v>0</v>
      </c>
      <c r="J35" s="21">
        <f>$I$35*J39*$B$45</f>
        <v>0</v>
      </c>
      <c r="K35" s="21">
        <f>$I$35*K39*$B$45</f>
        <v>0</v>
      </c>
      <c r="L35" s="21">
        <f>$I$35*L39*$B$45</f>
        <v>0</v>
      </c>
      <c r="M35" s="42">
        <f>$I$35*M39*$B$45</f>
        <v>0</v>
      </c>
      <c r="N35" s="42">
        <f>$I$35*N39*$B$45</f>
        <v>0</v>
      </c>
      <c r="O35" s="38" t="s">
        <v>21</v>
      </c>
      <c r="P35" s="7">
        <v>0.8379120879120879</v>
      </c>
      <c r="Q35" s="8">
        <f>0*I46</f>
        <v>0</v>
      </c>
      <c r="R35" s="21">
        <f>$I$35*R39*$B$45</f>
        <v>0</v>
      </c>
      <c r="S35" s="42">
        <f>$I$35*S39*$B$45</f>
        <v>0</v>
      </c>
      <c r="T35" s="38" t="s">
        <v>21</v>
      </c>
      <c r="U35" s="17">
        <v>0.8379120879120879</v>
      </c>
      <c r="V35" s="8">
        <f>0*J46</f>
        <v>0</v>
      </c>
      <c r="W35" s="42">
        <f>$I$35*W39*$B$45</f>
        <v>0</v>
      </c>
      <c r="X35" s="38" t="s">
        <v>21</v>
      </c>
      <c r="Y35" s="8">
        <v>0</v>
      </c>
      <c r="Z35" s="42">
        <f>$I$35*Z39*$B$45</f>
        <v>0</v>
      </c>
      <c r="BW35" s="1"/>
      <c r="BX35" s="1"/>
      <c r="BY35" s="1"/>
      <c r="BZ35" s="1"/>
    </row>
    <row r="36" spans="1:78" ht="12.75">
      <c r="A36" s="67" t="s">
        <v>39</v>
      </c>
      <c r="B36" s="67"/>
      <c r="C36" s="67"/>
      <c r="D36" s="67"/>
      <c r="E36" s="67"/>
      <c r="F36" s="68"/>
      <c r="G36" s="40"/>
      <c r="H36" s="5">
        <f>SUM(H38:H40)</f>
        <v>114.22570239999999</v>
      </c>
      <c r="I36" s="27">
        <f>0.62*B46</f>
        <v>0.62</v>
      </c>
      <c r="J36" s="22">
        <f>$I$36*J39*$B$45</f>
        <v>5532.384</v>
      </c>
      <c r="K36" s="22">
        <f>$I$36*K39*$B$45</f>
        <v>6315.072</v>
      </c>
      <c r="L36" s="22">
        <f>$I$36*L39*$B$45</f>
        <v>3188.04</v>
      </c>
      <c r="M36" s="43">
        <f>$I$36*M39*$B$45</f>
        <v>2775.12</v>
      </c>
      <c r="N36" s="43">
        <f>$I$36*N39*$B$45</f>
        <v>3059.328</v>
      </c>
      <c r="O36" s="40"/>
      <c r="P36" s="5">
        <v>0</v>
      </c>
      <c r="Q36" s="27">
        <v>0</v>
      </c>
      <c r="R36" s="22">
        <v>0</v>
      </c>
      <c r="S36" s="43">
        <v>0</v>
      </c>
      <c r="T36" s="52"/>
      <c r="U36" s="19">
        <f>SUM(U38:U40)</f>
        <v>114.22570239999999</v>
      </c>
      <c r="V36" s="27">
        <f>0.62*B46</f>
        <v>0.62</v>
      </c>
      <c r="W36" s="43">
        <f>$V$36*W39*$B$45</f>
        <v>3891.864</v>
      </c>
      <c r="X36" s="52"/>
      <c r="Y36" s="27">
        <v>0.62</v>
      </c>
      <c r="Z36" s="43">
        <f>$Y$36*$B$45*Z39</f>
        <v>7999.487999999999</v>
      </c>
      <c r="BW36" s="1"/>
      <c r="BX36" s="1"/>
      <c r="BY36" s="1"/>
      <c r="BZ36" s="1"/>
    </row>
    <row r="37" spans="1:78" ht="12.75">
      <c r="A37" s="74" t="s">
        <v>42</v>
      </c>
      <c r="B37" s="75"/>
      <c r="C37" s="75"/>
      <c r="D37" s="75"/>
      <c r="E37" s="75"/>
      <c r="F37" s="75"/>
      <c r="G37" s="40"/>
      <c r="H37" s="5"/>
      <c r="I37" s="27">
        <f>1.09*B46</f>
        <v>1.09</v>
      </c>
      <c r="J37" s="22">
        <f>$I$37*J39*$B$45</f>
        <v>9726.288</v>
      </c>
      <c r="K37" s="22">
        <f>$I$37*K39*$B$45</f>
        <v>11102.304</v>
      </c>
      <c r="L37" s="22">
        <f>$I$37*L39*$B$45</f>
        <v>5604.780000000001</v>
      </c>
      <c r="M37" s="43">
        <f>$I$37*M39*$B$45</f>
        <v>4878.84</v>
      </c>
      <c r="N37" s="43">
        <f>$I$37*N39*$B$45</f>
        <v>5378.496</v>
      </c>
      <c r="O37" s="40"/>
      <c r="P37" s="5"/>
      <c r="Q37" s="27">
        <v>1.09</v>
      </c>
      <c r="R37" s="22">
        <f>$I$37*R39*$B$45</f>
        <v>5058.036</v>
      </c>
      <c r="S37" s="43">
        <f>$I$37*S39*$B$45</f>
        <v>5446.512000000001</v>
      </c>
      <c r="T37" s="52"/>
      <c r="U37" s="19"/>
      <c r="V37" s="27">
        <f>1.15*B46</f>
        <v>1.15</v>
      </c>
      <c r="W37" s="43">
        <f>$V$37*W39*$B$45</f>
        <v>7218.779999999999</v>
      </c>
      <c r="X37" s="52"/>
      <c r="Y37" s="27">
        <v>2.15</v>
      </c>
      <c r="Z37" s="43">
        <f>$Y$37*$B$45*Z39</f>
        <v>27740.16</v>
      </c>
      <c r="BW37" s="1"/>
      <c r="BX37" s="1"/>
      <c r="BY37" s="1"/>
      <c r="BZ37" s="1"/>
    </row>
    <row r="38" spans="1:78" ht="12.75">
      <c r="A38" s="73" t="s">
        <v>25</v>
      </c>
      <c r="B38" s="73"/>
      <c r="C38" s="73"/>
      <c r="D38" s="73"/>
      <c r="E38" s="73"/>
      <c r="F38" s="74"/>
      <c r="G38" s="44"/>
      <c r="H38" s="11">
        <f>H29+H24+H15+H10</f>
        <v>99.99999999999999</v>
      </c>
      <c r="I38" s="28"/>
      <c r="J38" s="16">
        <f>J29+J24+J15+J10+J36+J37</f>
        <v>138398.832</v>
      </c>
      <c r="K38" s="16">
        <f>K29+K24+K15+K10+K36+K37</f>
        <v>157978.65600000002</v>
      </c>
      <c r="L38" s="16">
        <f>L29+L24+L15+L10+L36+L37</f>
        <v>79752.42</v>
      </c>
      <c r="M38" s="37">
        <f>M29+M24+M15+M10+M36+M37</f>
        <v>69422.76000000001</v>
      </c>
      <c r="N38" s="37">
        <f>N29+N24+N15+N10+N36+N37</f>
        <v>76532.544</v>
      </c>
      <c r="O38" s="44"/>
      <c r="P38" s="11">
        <f>P29+P24+P15+P10</f>
        <v>99.99999999999999</v>
      </c>
      <c r="Q38" s="28"/>
      <c r="R38" s="16">
        <f>R29+R24+R15+R10+R36+R37</f>
        <v>69095.55600000001</v>
      </c>
      <c r="S38" s="37">
        <f>S29+S24+S15+S10+S36+S37</f>
        <v>74402.352</v>
      </c>
      <c r="T38" s="55"/>
      <c r="U38" s="24">
        <f>U29+U24+U15+U10</f>
        <v>99.99999999999999</v>
      </c>
      <c r="V38" s="28"/>
      <c r="W38" s="43">
        <f>W37+W36+W29+W24+W15</f>
        <v>94848.492</v>
      </c>
      <c r="X38" s="55"/>
      <c r="Y38" s="8"/>
      <c r="Z38" s="37">
        <f>Z29+Z24+Z15+Z10+Z36+Z37</f>
        <v>219985.92000000004</v>
      </c>
      <c r="AA38" s="61">
        <f>Z38+W38+S38+R38+N38+L38+K38+J38+M38</f>
        <v>980417.5320000001</v>
      </c>
      <c r="AB38" s="1">
        <f>AA38/12*0.05</f>
        <v>4085.073050000001</v>
      </c>
      <c r="BW38" s="1"/>
      <c r="BX38" s="1"/>
      <c r="BY38" s="1"/>
      <c r="BZ38" s="1"/>
    </row>
    <row r="39" spans="1:78" ht="12.75">
      <c r="A39" s="73" t="s">
        <v>26</v>
      </c>
      <c r="B39" s="73"/>
      <c r="C39" s="73"/>
      <c r="D39" s="73"/>
      <c r="E39" s="73"/>
      <c r="F39" s="74"/>
      <c r="G39" s="44"/>
      <c r="H39" s="10"/>
      <c r="I39" s="29"/>
      <c r="J39" s="16">
        <v>743.6</v>
      </c>
      <c r="K39" s="16">
        <v>848.8</v>
      </c>
      <c r="L39" s="16">
        <v>428.5</v>
      </c>
      <c r="M39" s="37">
        <v>373</v>
      </c>
      <c r="N39" s="37">
        <v>411.2</v>
      </c>
      <c r="O39" s="44"/>
      <c r="P39" s="10"/>
      <c r="Q39" s="29"/>
      <c r="R39" s="16">
        <v>386.7</v>
      </c>
      <c r="S39" s="37">
        <v>416.4</v>
      </c>
      <c r="T39" s="55"/>
      <c r="U39" s="23"/>
      <c r="V39" s="29"/>
      <c r="W39" s="60">
        <v>523.1</v>
      </c>
      <c r="X39" s="55"/>
      <c r="Y39" s="29"/>
      <c r="Z39" s="37">
        <v>1075.2</v>
      </c>
      <c r="BW39" s="1"/>
      <c r="BX39" s="1"/>
      <c r="BY39" s="1"/>
      <c r="BZ39" s="1"/>
    </row>
    <row r="40" spans="1:26" s="12" customFormat="1" ht="25.5" customHeight="1">
      <c r="A40" s="71" t="s">
        <v>46</v>
      </c>
      <c r="B40" s="71"/>
      <c r="C40" s="71"/>
      <c r="D40" s="71"/>
      <c r="E40" s="71"/>
      <c r="F40" s="72"/>
      <c r="G40" s="45"/>
      <c r="H40" s="46">
        <f>7.28*1.416*1.2*1.15</f>
        <v>14.225702399999998</v>
      </c>
      <c r="I40" s="47">
        <f>I15+I24+I29+I36+I37</f>
        <v>15.51</v>
      </c>
      <c r="J40" s="48">
        <f>J38/12/J39</f>
        <v>15.509999999999998</v>
      </c>
      <c r="K40" s="48">
        <f>K38/12/K39</f>
        <v>15.510000000000002</v>
      </c>
      <c r="L40" s="48">
        <f>L38/12/L39</f>
        <v>15.51</v>
      </c>
      <c r="M40" s="49">
        <f>M38/12/M39</f>
        <v>15.510000000000002</v>
      </c>
      <c r="N40" s="49">
        <f>N38/12/N39</f>
        <v>15.51</v>
      </c>
      <c r="O40" s="45"/>
      <c r="P40" s="46">
        <f>7.28*1.416*1.2*1.15</f>
        <v>14.225702399999998</v>
      </c>
      <c r="Q40" s="47">
        <f>Q15+Q24+Q29+Q36+Q37</f>
        <v>14.89</v>
      </c>
      <c r="R40" s="48">
        <f>R38/12/R39</f>
        <v>14.890000000000002</v>
      </c>
      <c r="S40" s="49">
        <f>S38/12/S39</f>
        <v>14.89</v>
      </c>
      <c r="T40" s="56"/>
      <c r="U40" s="48">
        <f>7.28*1.416*1.2*1.15</f>
        <v>14.225702399999998</v>
      </c>
      <c r="V40" s="47">
        <f>V15+V24+V29+V36+V37</f>
        <v>15.110000000000001</v>
      </c>
      <c r="W40" s="57">
        <f>W38/B45/W39</f>
        <v>15.11</v>
      </c>
      <c r="X40" s="56"/>
      <c r="Y40" s="47">
        <f>Y15+Y24+Y29+Y36+Y37</f>
        <v>17.05</v>
      </c>
      <c r="Z40" s="57">
        <f>Z38/12/Z39</f>
        <v>17.050000000000004</v>
      </c>
    </row>
    <row r="41" ht="12.75">
      <c r="I41" s="33"/>
    </row>
    <row r="42" ht="12.75" customHeight="1" hidden="1"/>
    <row r="43" spans="6:7" ht="12.75">
      <c r="F43" s="31"/>
      <c r="G43" s="31"/>
    </row>
    <row r="44" spans="6:23" ht="12.75">
      <c r="F44" s="31"/>
      <c r="G44" s="31"/>
      <c r="W44" s="33"/>
    </row>
    <row r="45" spans="1:7" ht="12.75">
      <c r="A45" s="1" t="s">
        <v>40</v>
      </c>
      <c r="B45" s="1">
        <v>12</v>
      </c>
      <c r="F45" s="31"/>
      <c r="G45" s="31"/>
    </row>
    <row r="46" spans="1:23" ht="12.75">
      <c r="A46" s="1" t="s">
        <v>5</v>
      </c>
      <c r="B46" s="1">
        <v>1</v>
      </c>
      <c r="F46" s="31"/>
      <c r="G46" s="31"/>
      <c r="W46" s="33"/>
    </row>
    <row r="47" spans="6:7" ht="12.75">
      <c r="F47" s="31"/>
      <c r="G47" s="31"/>
    </row>
    <row r="48" spans="6:7" ht="12.75">
      <c r="F48" s="31"/>
      <c r="G48" s="31"/>
    </row>
    <row r="49" spans="6:7" ht="12.75">
      <c r="F49" s="31"/>
      <c r="G49" s="31"/>
    </row>
    <row r="50" spans="6:7" ht="12.75">
      <c r="F50" s="31"/>
      <c r="G50" s="31"/>
    </row>
    <row r="51" spans="6:7" ht="12.75">
      <c r="F51" s="31"/>
      <c r="G51" s="31"/>
    </row>
    <row r="52" spans="6:7" ht="12.75">
      <c r="F52" s="31"/>
      <c r="G52" s="31"/>
    </row>
    <row r="53" spans="6:7" ht="12.75">
      <c r="F53" s="31"/>
      <c r="G53" s="31"/>
    </row>
    <row r="54" spans="6:7" ht="12.75">
      <c r="F54" s="31"/>
      <c r="G54" s="31"/>
    </row>
    <row r="55" spans="6:7" ht="12.75">
      <c r="F55" s="31"/>
      <c r="G55" s="31"/>
    </row>
    <row r="56" spans="6:7" ht="12.75">
      <c r="F56" s="31"/>
      <c r="G56" s="31"/>
    </row>
    <row r="57" spans="6:7" ht="12.75">
      <c r="F57" s="31"/>
      <c r="G57" s="31"/>
    </row>
    <row r="58" spans="6:7" ht="12.75">
      <c r="F58" s="31"/>
      <c r="G58" s="31"/>
    </row>
    <row r="59" spans="6:7" ht="12.75">
      <c r="F59" s="31"/>
      <c r="G59" s="31"/>
    </row>
    <row r="60" spans="6:7" ht="12.75">
      <c r="F60" s="31"/>
      <c r="G60" s="31"/>
    </row>
    <row r="61" spans="6:7" ht="12.75">
      <c r="F61" s="31"/>
      <c r="G61" s="31"/>
    </row>
    <row r="62" spans="6:7" ht="12.75">
      <c r="F62" s="31"/>
      <c r="G62" s="31"/>
    </row>
    <row r="63" spans="6:7" ht="12.75">
      <c r="F63" s="31"/>
      <c r="G63" s="31"/>
    </row>
    <row r="64" spans="6:7" ht="12.75">
      <c r="F64" s="31"/>
      <c r="G64" s="31"/>
    </row>
    <row r="65" spans="6:7" ht="12.75">
      <c r="F65" s="31"/>
      <c r="G65" s="31"/>
    </row>
    <row r="66" spans="6:7" ht="12.75">
      <c r="F66" s="31"/>
      <c r="G66" s="31"/>
    </row>
    <row r="67" spans="6:7" ht="12.75">
      <c r="F67" s="31"/>
      <c r="G67" s="31"/>
    </row>
    <row r="68" spans="6:7" ht="12.75">
      <c r="F68" s="31"/>
      <c r="G68" s="31"/>
    </row>
    <row r="69" spans="6:7" ht="12.75">
      <c r="F69" s="31"/>
      <c r="G69" s="31"/>
    </row>
    <row r="70" spans="6:7" ht="12.75">
      <c r="F70" s="31"/>
      <c r="G70" s="31"/>
    </row>
  </sheetData>
  <sheetProtection/>
  <mergeCells count="41">
    <mergeCell ref="G7:W7"/>
    <mergeCell ref="A7:F9"/>
    <mergeCell ref="A10:F10"/>
    <mergeCell ref="G8:N8"/>
    <mergeCell ref="A11:F11"/>
    <mergeCell ref="O8:S8"/>
    <mergeCell ref="A17:F17"/>
    <mergeCell ref="A22:F22"/>
    <mergeCell ref="A23:F23"/>
    <mergeCell ref="A21:F21"/>
    <mergeCell ref="A14:F14"/>
    <mergeCell ref="X8:Z8"/>
    <mergeCell ref="T8:W8"/>
    <mergeCell ref="A12:F12"/>
    <mergeCell ref="A27:F27"/>
    <mergeCell ref="A26:F26"/>
    <mergeCell ref="A15:F15"/>
    <mergeCell ref="A20:F20"/>
    <mergeCell ref="A16:F16"/>
    <mergeCell ref="A1:I1"/>
    <mergeCell ref="A2:I2"/>
    <mergeCell ref="A3:I3"/>
    <mergeCell ref="A4:I4"/>
    <mergeCell ref="A24:F24"/>
    <mergeCell ref="A40:F40"/>
    <mergeCell ref="A30:F30"/>
    <mergeCell ref="A31:F31"/>
    <mergeCell ref="A32:F32"/>
    <mergeCell ref="A38:F38"/>
    <mergeCell ref="A36:F36"/>
    <mergeCell ref="A39:F39"/>
    <mergeCell ref="A37:F37"/>
    <mergeCell ref="A28:F28"/>
    <mergeCell ref="A29:F29"/>
    <mergeCell ref="A35:F35"/>
    <mergeCell ref="A33:F33"/>
    <mergeCell ref="A34:F34"/>
    <mergeCell ref="A18:F18"/>
    <mergeCell ref="A19:F19"/>
    <mergeCell ref="A13:F13"/>
    <mergeCell ref="A25:F25"/>
  </mergeCells>
  <printOptions/>
  <pageMargins left="0.4330708661417323" right="0.11811023622047245" top="0.2362204724409449" bottom="0.3937007874015748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Л.Ф.</dc:creator>
  <cp:keywords/>
  <dc:description/>
  <cp:lastModifiedBy>Галина Александровна Шевченко</cp:lastModifiedBy>
  <cp:lastPrinted>2014-12-16T13:13:16Z</cp:lastPrinted>
  <dcterms:created xsi:type="dcterms:W3CDTF">2014-04-14T06:00:53Z</dcterms:created>
  <dcterms:modified xsi:type="dcterms:W3CDTF">2015-07-06T05:56:46Z</dcterms:modified>
  <cp:category/>
  <cp:version/>
  <cp:contentType/>
  <cp:contentStatus/>
</cp:coreProperties>
</file>